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trlProps/ctrlProp4.xml" ContentType="application/vnd.ms-excel.controlproperties+xml"/>
  <Override PartName="/xl/ctrlProps/ctrlProp5.xml" ContentType="application/vnd.ms-excel.controlproperties+xml"/>
  <Override PartName="/xl/drawings/drawing4.xml" ContentType="application/vnd.openxmlformats-officedocument.drawing+xml"/>
  <Override PartName="/xl/ctrlProps/ctrlProp6.xml" ContentType="application/vnd.ms-excel.controlproperties+xml"/>
  <Override PartName="/xl/drawings/drawing5.xml" ContentType="application/vnd.openxmlformats-officedocument.drawing+xml"/>
  <Override PartName="/xl/ctrlProps/ctrlProp7.xml" ContentType="application/vnd.ms-excel.controlproperties+xml"/>
  <Override PartName="/xl/drawings/drawing6.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7.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8.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9.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10.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11.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tables/table1.xml" ContentType="application/vnd.openxmlformats-officedocument.spreadsheetml.table+xml"/>
  <Override PartName="/xl/drawings/drawing12.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tables/table2.xml" ContentType="application/vnd.openxmlformats-officedocument.spreadsheetml.table+xml"/>
  <Override PartName="/xl/drawings/drawing1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tables/table3.xml" ContentType="application/vnd.openxmlformats-officedocument.spreadsheetml.table+xml"/>
  <Override PartName="/xl/drawings/drawing1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BUKU2018\TEXT\TEXT\"/>
    </mc:Choice>
  </mc:AlternateContent>
  <bookViews>
    <workbookView xWindow="120" yWindow="30" windowWidth="20115" windowHeight="9525" tabRatio="557" firstSheet="6" activeTab="13"/>
  </bookViews>
  <sheets>
    <sheet name="LOGIKA1" sheetId="17" r:id="rId1"/>
    <sheet name="LOGIKA2" sheetId="12" r:id="rId2"/>
    <sheet name="LOGIKA3" sheetId="13" r:id="rId3"/>
    <sheet name="LOGIKA4" sheetId="24" r:id="rId4"/>
    <sheet name="LOGIKA5" sheetId="16" r:id="rId5"/>
    <sheet name="KASUS1" sheetId="1" r:id="rId6"/>
    <sheet name="KASUS2" sheetId="4" r:id="rId7"/>
    <sheet name="KASUS3" sheetId="5" r:id="rId8"/>
    <sheet name="KASUS4" sheetId="19" r:id="rId9"/>
    <sheet name="KASUS5" sheetId="7" r:id="rId10"/>
    <sheet name="KASUS6" sheetId="20" r:id="rId11"/>
    <sheet name="KASUS7" sheetId="21" r:id="rId12"/>
    <sheet name="KASUS8" sheetId="25" r:id="rId13"/>
    <sheet name="KASUS9" sheetId="11" r:id="rId14"/>
  </sheets>
  <calcPr calcId="152511"/>
</workbook>
</file>

<file path=xl/calcChain.xml><?xml version="1.0" encoding="utf-8"?>
<calcChain xmlns="http://schemas.openxmlformats.org/spreadsheetml/2006/main">
  <c r="I70" i="11" l="1"/>
  <c r="I69" i="11"/>
  <c r="I68" i="11"/>
  <c r="I67" i="11"/>
  <c r="I66" i="11"/>
  <c r="I65" i="11"/>
  <c r="I64" i="11"/>
  <c r="I63" i="11"/>
  <c r="I62" i="11"/>
  <c r="I61" i="11"/>
  <c r="I60" i="11"/>
  <c r="D8" i="25"/>
  <c r="D7" i="25"/>
  <c r="D6" i="25"/>
  <c r="D5" i="25"/>
  <c r="D4" i="25"/>
  <c r="B9" i="25" l="1"/>
  <c r="C21" i="25" s="1"/>
  <c r="H6" i="24"/>
  <c r="H5" i="24"/>
  <c r="I5" i="24" s="1"/>
  <c r="C14" i="24"/>
  <c r="C18" i="24"/>
  <c r="C20" i="24"/>
  <c r="I43" i="20"/>
  <c r="C15" i="24"/>
  <c r="C17" i="24"/>
  <c r="C19" i="24"/>
  <c r="I41" i="20"/>
  <c r="B14" i="25" l="1"/>
  <c r="C11" i="25"/>
  <c r="C12" i="25" s="1"/>
  <c r="B21" i="25"/>
  <c r="B20" i="25"/>
  <c r="G20" i="25" s="1"/>
  <c r="H22" i="25" s="1"/>
  <c r="H23" i="25" s="1"/>
  <c r="C10" i="25"/>
  <c r="D11" i="25" s="1"/>
  <c r="E12" i="25" s="1"/>
  <c r="C15" i="25"/>
  <c r="C16" i="25" s="1"/>
  <c r="C17" i="25" s="1"/>
  <c r="C23" i="25" s="1"/>
  <c r="B10" i="25"/>
  <c r="B15" i="25"/>
  <c r="C25" i="25"/>
  <c r="C26" i="25" s="1"/>
  <c r="J7" i="24"/>
  <c r="J5" i="24"/>
  <c r="K5" i="24" s="1"/>
  <c r="A4" i="24"/>
  <c r="D3" i="24"/>
  <c r="B19" i="19"/>
  <c r="C19" i="19"/>
  <c r="C12" i="24"/>
  <c r="C21" i="24"/>
  <c r="C13" i="24"/>
  <c r="G21" i="25" l="1"/>
  <c r="G11" i="25"/>
  <c r="G12" i="25" s="1"/>
  <c r="H13" i="25" s="1"/>
  <c r="D16" i="25"/>
  <c r="C22" i="25"/>
  <c r="H21" i="25"/>
  <c r="H25" i="25"/>
  <c r="H24" i="25"/>
  <c r="G16" i="25"/>
  <c r="I6" i="24"/>
  <c r="I7" i="24" s="1"/>
  <c r="D5" i="24"/>
  <c r="L5" i="24"/>
  <c r="K7" i="24"/>
  <c r="D4" i="24"/>
  <c r="H7" i="24"/>
  <c r="G6" i="24"/>
  <c r="G7" i="24" s="1"/>
  <c r="E17" i="25" l="1"/>
  <c r="D22" i="25"/>
  <c r="J22" i="25" s="1"/>
  <c r="J23" i="25" s="1"/>
  <c r="K24" i="25" s="1"/>
  <c r="K25" i="25" s="1"/>
  <c r="G27" i="25"/>
  <c r="H28" i="25" s="1"/>
  <c r="H17" i="25"/>
  <c r="L7" i="24"/>
  <c r="M5" i="24"/>
  <c r="M7" i="24" s="1"/>
  <c r="D6" i="21"/>
  <c r="D5" i="21"/>
  <c r="D4" i="21"/>
  <c r="D6" i="20"/>
  <c r="D5" i="20"/>
  <c r="D4" i="20"/>
  <c r="D4" i="7"/>
  <c r="C9" i="19"/>
  <c r="D6" i="19"/>
  <c r="C24" i="19" s="1"/>
  <c r="D5" i="19"/>
  <c r="C10" i="19" s="1"/>
  <c r="D4" i="19"/>
  <c r="E4" i="4"/>
  <c r="C10" i="4" s="1"/>
  <c r="I35" i="5"/>
  <c r="I30" i="19"/>
  <c r="I23" i="5"/>
  <c r="I29" i="19"/>
  <c r="D15" i="4"/>
  <c r="I35" i="19"/>
  <c r="D22" i="4"/>
  <c r="I30" i="5"/>
  <c r="I28" i="19"/>
  <c r="I21" i="5"/>
  <c r="I34" i="19"/>
  <c r="I26" i="5"/>
  <c r="I25" i="19"/>
  <c r="D17" i="4"/>
  <c r="I27" i="5"/>
  <c r="D19" i="4"/>
  <c r="I36" i="5"/>
  <c r="I24" i="19"/>
  <c r="I22" i="5"/>
  <c r="I22" i="19"/>
  <c r="I28" i="5"/>
  <c r="I21" i="19"/>
  <c r="D20" i="4"/>
  <c r="I31" i="5"/>
  <c r="I23" i="19"/>
  <c r="I34" i="5"/>
  <c r="I36" i="19"/>
  <c r="I25" i="5"/>
  <c r="I27" i="19"/>
  <c r="D18" i="4"/>
  <c r="I33" i="19"/>
  <c r="D21" i="4"/>
  <c r="I33" i="5"/>
  <c r="I26" i="19"/>
  <c r="I24" i="5"/>
  <c r="I32" i="19"/>
  <c r="I29" i="5"/>
  <c r="I31" i="19"/>
  <c r="D16" i="4"/>
  <c r="I32" i="5"/>
  <c r="D25" i="25" l="1"/>
  <c r="E26" i="25" s="1"/>
  <c r="E23" i="25"/>
  <c r="H29" i="25"/>
  <c r="I28" i="25"/>
  <c r="C15" i="19"/>
  <c r="C20" i="19" s="1"/>
  <c r="E20" i="19" s="1"/>
  <c r="C14" i="19"/>
  <c r="B8" i="21"/>
  <c r="B19" i="21" s="1"/>
  <c r="C10" i="21"/>
  <c r="C11" i="21" s="1"/>
  <c r="D7" i="21"/>
  <c r="D7" i="20"/>
  <c r="B8" i="20"/>
  <c r="C19" i="20" s="1"/>
  <c r="H43" i="20" s="1"/>
  <c r="E9" i="19"/>
  <c r="F10" i="19" s="1"/>
  <c r="D11" i="1"/>
  <c r="K7" i="1"/>
  <c r="K8" i="1"/>
  <c r="K9" i="1"/>
  <c r="K6" i="1"/>
  <c r="H7" i="17"/>
  <c r="I5" i="17"/>
  <c r="I7" i="17" s="1"/>
  <c r="D3" i="17"/>
  <c r="D13" i="16"/>
  <c r="D12" i="16"/>
  <c r="D11" i="16"/>
  <c r="D10" i="16"/>
  <c r="G7" i="13"/>
  <c r="D5" i="13"/>
  <c r="G6" i="13"/>
  <c r="D4" i="13"/>
  <c r="H5" i="13"/>
  <c r="I5" i="13" s="1"/>
  <c r="J5" i="13" s="1"/>
  <c r="K5" i="13" s="1"/>
  <c r="L5" i="13" s="1"/>
  <c r="M5" i="13" s="1"/>
  <c r="D3" i="13"/>
  <c r="D5" i="12"/>
  <c r="H6" i="12"/>
  <c r="H7" i="12" s="1"/>
  <c r="D4" i="12"/>
  <c r="I5" i="12"/>
  <c r="J5" i="12" s="1"/>
  <c r="K5" i="12" s="1"/>
  <c r="L5" i="12" s="1"/>
  <c r="M5" i="12" s="1"/>
  <c r="N5" i="12" s="1"/>
  <c r="D3" i="12"/>
  <c r="C13" i="12"/>
  <c r="C15" i="13"/>
  <c r="C12" i="13"/>
  <c r="D21" i="1"/>
  <c r="C19" i="12"/>
  <c r="C18" i="13"/>
  <c r="C17" i="13"/>
  <c r="C15" i="17"/>
  <c r="D22" i="1"/>
  <c r="C18" i="12"/>
  <c r="D18" i="1"/>
  <c r="C12" i="17"/>
  <c r="D23" i="1"/>
  <c r="C16" i="13"/>
  <c r="C18" i="16"/>
  <c r="D19" i="1"/>
  <c r="C12" i="12"/>
  <c r="D15" i="1"/>
  <c r="C19" i="16"/>
  <c r="D20" i="1"/>
  <c r="C20" i="16"/>
  <c r="C20" i="12"/>
  <c r="D17" i="1"/>
  <c r="C14" i="17"/>
  <c r="C14" i="12"/>
  <c r="C17" i="16"/>
  <c r="D16" i="1"/>
  <c r="C17" i="12"/>
  <c r="H30" i="25" l="1"/>
  <c r="C19" i="21"/>
  <c r="C14" i="21"/>
  <c r="C15" i="21" s="1"/>
  <c r="C20" i="21" s="1"/>
  <c r="B14" i="21"/>
  <c r="B9" i="21"/>
  <c r="B13" i="21"/>
  <c r="B18" i="21"/>
  <c r="C9" i="21"/>
  <c r="H10" i="21" s="1"/>
  <c r="H11" i="21" s="1"/>
  <c r="C16" i="21"/>
  <c r="C21" i="21" s="1"/>
  <c r="E10" i="21"/>
  <c r="C14" i="20"/>
  <c r="C15" i="20" s="1"/>
  <c r="C10" i="20"/>
  <c r="C11" i="20" s="1"/>
  <c r="C9" i="20"/>
  <c r="B9" i="20"/>
  <c r="B13" i="20"/>
  <c r="B19" i="20"/>
  <c r="B18" i="20"/>
  <c r="B14" i="20"/>
  <c r="C16" i="20"/>
  <c r="F21" i="19"/>
  <c r="C16" i="19"/>
  <c r="C21" i="19" s="1"/>
  <c r="E15" i="19"/>
  <c r="F16" i="19" s="1"/>
  <c r="J5" i="17"/>
  <c r="H7" i="13"/>
  <c r="I7" i="13"/>
  <c r="H6" i="13"/>
  <c r="I6" i="12"/>
  <c r="D5" i="11"/>
  <c r="D9" i="11"/>
  <c r="D8" i="11"/>
  <c r="D7" i="11"/>
  <c r="D6" i="11"/>
  <c r="D4" i="11"/>
  <c r="D6" i="7"/>
  <c r="D5" i="7"/>
  <c r="D6" i="5"/>
  <c r="E9" i="5" s="1"/>
  <c r="D5" i="5"/>
  <c r="C10" i="5" s="1"/>
  <c r="D4" i="5"/>
  <c r="C9" i="5" s="1"/>
  <c r="E6" i="4"/>
  <c r="F9" i="4" s="1"/>
  <c r="G10" i="4" s="1"/>
  <c r="E5" i="4"/>
  <c r="E6" i="1"/>
  <c r="F9" i="1" s="1"/>
  <c r="G10" i="1" s="1"/>
  <c r="E5" i="1"/>
  <c r="D10" i="1" s="1"/>
  <c r="E4" i="1"/>
  <c r="D9" i="1" s="1"/>
  <c r="I29" i="25"/>
  <c r="H31" i="25" l="1"/>
  <c r="F11" i="21"/>
  <c r="E15" i="21"/>
  <c r="E20" i="21" s="1"/>
  <c r="C21" i="20"/>
  <c r="H45" i="20" s="1"/>
  <c r="H42" i="20"/>
  <c r="H14" i="21"/>
  <c r="H15" i="21" s="1"/>
  <c r="F21" i="21"/>
  <c r="E10" i="20"/>
  <c r="F11" i="20" s="1"/>
  <c r="E15" i="20" s="1"/>
  <c r="F16" i="20" s="1"/>
  <c r="E20" i="20" s="1"/>
  <c r="H10" i="20"/>
  <c r="H11" i="20" s="1"/>
  <c r="C20" i="20"/>
  <c r="C9" i="7"/>
  <c r="G10" i="7" s="1"/>
  <c r="F10" i="5"/>
  <c r="C24" i="5"/>
  <c r="K5" i="17"/>
  <c r="J7" i="17"/>
  <c r="I6" i="13"/>
  <c r="J6" i="12"/>
  <c r="I7" i="12"/>
  <c r="B19" i="5"/>
  <c r="C19" i="5"/>
  <c r="B10" i="11"/>
  <c r="B7" i="7"/>
  <c r="C14" i="5"/>
  <c r="C15" i="5"/>
  <c r="C20" i="5" s="1"/>
  <c r="E20" i="5" s="1"/>
  <c r="F21" i="5" s="1"/>
  <c r="C11" i="4"/>
  <c r="C9" i="4"/>
  <c r="I42" i="20"/>
  <c r="I30" i="25"/>
  <c r="I45" i="20"/>
  <c r="H32" i="25" l="1"/>
  <c r="F21" i="20"/>
  <c r="H44" i="20"/>
  <c r="F16" i="21"/>
  <c r="I15" i="21"/>
  <c r="H16" i="21"/>
  <c r="H14" i="20"/>
  <c r="H15" i="20" s="1"/>
  <c r="C10" i="7"/>
  <c r="G9" i="7"/>
  <c r="G14" i="7" s="1"/>
  <c r="G20" i="7" s="1"/>
  <c r="G21" i="7" s="1"/>
  <c r="L5" i="17"/>
  <c r="K7" i="17"/>
  <c r="J6" i="13"/>
  <c r="K6" i="12"/>
  <c r="J7" i="12"/>
  <c r="C21" i="11"/>
  <c r="B20" i="11"/>
  <c r="H20" i="11" s="1"/>
  <c r="B16" i="11"/>
  <c r="C11" i="11"/>
  <c r="E12" i="11" s="1"/>
  <c r="F13" i="11" s="1"/>
  <c r="B21" i="11"/>
  <c r="C16" i="11"/>
  <c r="C17" i="11" s="1"/>
  <c r="E17" i="11" s="1"/>
  <c r="B15" i="11"/>
  <c r="C12" i="11"/>
  <c r="C13" i="11" s="1"/>
  <c r="B11" i="11"/>
  <c r="I28" i="11" s="1"/>
  <c r="I29" i="11" s="1"/>
  <c r="B17" i="7"/>
  <c r="C18" i="7"/>
  <c r="B12" i="7"/>
  <c r="B8" i="7"/>
  <c r="D9" i="7" s="1"/>
  <c r="E10" i="7" s="1"/>
  <c r="B13" i="7"/>
  <c r="B9" i="7"/>
  <c r="C13" i="7"/>
  <c r="C14" i="7" s="1"/>
  <c r="B18" i="7"/>
  <c r="C16" i="5"/>
  <c r="C21" i="5" s="1"/>
  <c r="E15" i="5"/>
  <c r="F16" i="5" s="1"/>
  <c r="I31" i="25"/>
  <c r="I44" i="20"/>
  <c r="H33" i="25" l="1"/>
  <c r="I30" i="11"/>
  <c r="J29" i="11"/>
  <c r="H17" i="21"/>
  <c r="I15" i="20"/>
  <c r="H16" i="20"/>
  <c r="H21" i="7"/>
  <c r="G22" i="7"/>
  <c r="I16" i="7"/>
  <c r="J16" i="7" s="1"/>
  <c r="K16" i="7" s="1"/>
  <c r="L16" i="7" s="1"/>
  <c r="H18" i="7"/>
  <c r="H17" i="7"/>
  <c r="I15" i="7"/>
  <c r="H15" i="7"/>
  <c r="M5" i="17"/>
  <c r="L7" i="17"/>
  <c r="J7" i="13"/>
  <c r="K6" i="13"/>
  <c r="L6" i="12"/>
  <c r="K7" i="12"/>
  <c r="C15" i="7"/>
  <c r="C20" i="7" s="1"/>
  <c r="C19" i="7"/>
  <c r="D19" i="7" s="1"/>
  <c r="C25" i="11"/>
  <c r="C18" i="11"/>
  <c r="C23" i="11" s="1"/>
  <c r="F18" i="11"/>
  <c r="I22" i="11"/>
  <c r="I23" i="11" s="1"/>
  <c r="H21" i="11"/>
  <c r="D14" i="7"/>
  <c r="E15" i="7" s="1"/>
  <c r="H22" i="7"/>
  <c r="I16" i="20"/>
  <c r="J30" i="11"/>
  <c r="I32" i="25"/>
  <c r="I16" i="21"/>
  <c r="H34" i="25" l="1"/>
  <c r="I31" i="11"/>
  <c r="H18" i="21"/>
  <c r="H17" i="20"/>
  <c r="G23" i="7"/>
  <c r="I18" i="7"/>
  <c r="K18" i="7" s="1"/>
  <c r="L18" i="7" s="1"/>
  <c r="I17" i="7"/>
  <c r="J17" i="7" s="1"/>
  <c r="E20" i="7"/>
  <c r="N5" i="17"/>
  <c r="N7" i="17" s="1"/>
  <c r="M7" i="17"/>
  <c r="K7" i="13"/>
  <c r="L6" i="13"/>
  <c r="L7" i="13" s="1"/>
  <c r="M6" i="12"/>
  <c r="L7" i="12"/>
  <c r="K22" i="11"/>
  <c r="L24" i="11" s="1"/>
  <c r="K23" i="11"/>
  <c r="L25" i="11" s="1"/>
  <c r="I21" i="11"/>
  <c r="I24" i="11"/>
  <c r="I25" i="11"/>
  <c r="C26" i="11"/>
  <c r="E25" i="11"/>
  <c r="C22" i="11"/>
  <c r="I17" i="20"/>
  <c r="I17" i="21"/>
  <c r="I33" i="25"/>
  <c r="H23" i="7"/>
  <c r="J31" i="11"/>
  <c r="H35" i="25" l="1"/>
  <c r="I32" i="11"/>
  <c r="H19" i="21"/>
  <c r="H18" i="20"/>
  <c r="G24" i="7"/>
  <c r="J18" i="7"/>
  <c r="K17" i="7"/>
  <c r="L17" i="7" s="1"/>
  <c r="M6" i="13"/>
  <c r="M7" i="13" s="1"/>
  <c r="N6" i="12"/>
  <c r="N7" i="12" s="1"/>
  <c r="M7" i="12"/>
  <c r="F26" i="11"/>
  <c r="E22" i="11"/>
  <c r="F23" i="11" s="1"/>
  <c r="I18" i="20"/>
  <c r="J32" i="11"/>
  <c r="I34" i="25"/>
  <c r="H24" i="7"/>
  <c r="I18" i="21"/>
  <c r="H36" i="25" l="1"/>
  <c r="I33" i="11"/>
  <c r="H20" i="21"/>
  <c r="H19" i="20"/>
  <c r="G25" i="7"/>
  <c r="J33" i="11"/>
  <c r="H25" i="7"/>
  <c r="I19" i="21"/>
  <c r="I35" i="25"/>
  <c r="I19" i="20"/>
  <c r="H37" i="25" l="1"/>
  <c r="I34" i="11"/>
  <c r="H21" i="21"/>
  <c r="H20" i="20"/>
  <c r="G26" i="7"/>
  <c r="G27" i="7" s="1"/>
  <c r="I20" i="20"/>
  <c r="H27" i="7"/>
  <c r="H26" i="7"/>
  <c r="I36" i="25"/>
  <c r="I20" i="21"/>
  <c r="H38" i="25" l="1"/>
  <c r="I35" i="11"/>
  <c r="H22" i="21"/>
  <c r="H21" i="20"/>
  <c r="H22" i="20" s="1"/>
  <c r="H23" i="20" s="1"/>
  <c r="H24" i="20" s="1"/>
  <c r="H25" i="20" s="1"/>
  <c r="H26" i="20" s="1"/>
  <c r="H27" i="20" s="1"/>
  <c r="H28" i="20" s="1"/>
  <c r="H29" i="20" s="1"/>
  <c r="H30" i="20" s="1"/>
  <c r="H31" i="20" s="1"/>
  <c r="H32" i="20" s="1"/>
  <c r="H33" i="20" s="1"/>
  <c r="H34" i="20" s="1"/>
  <c r="H35" i="20" s="1"/>
  <c r="H36" i="20" s="1"/>
  <c r="G28" i="7"/>
  <c r="I21" i="20"/>
  <c r="J35" i="11"/>
  <c r="H28" i="7"/>
  <c r="I21" i="21"/>
  <c r="I34" i="20"/>
  <c r="I37" i="25"/>
  <c r="J34" i="11"/>
  <c r="H39" i="25" l="1"/>
  <c r="H37" i="20"/>
  <c r="H38" i="20" s="1"/>
  <c r="H39" i="20" s="1"/>
  <c r="H40" i="20" s="1"/>
  <c r="H41" i="20" s="1"/>
  <c r="I36" i="11"/>
  <c r="H23" i="21"/>
  <c r="G29" i="7"/>
  <c r="I22" i="20"/>
  <c r="J36" i="11"/>
  <c r="H29" i="7"/>
  <c r="I38" i="25"/>
  <c r="I35" i="20"/>
  <c r="I22" i="21"/>
  <c r="H40" i="25" l="1"/>
  <c r="I37" i="11"/>
  <c r="H24" i="21"/>
  <c r="G30" i="7"/>
  <c r="I23" i="21"/>
  <c r="I23" i="20"/>
  <c r="H30" i="7"/>
  <c r="I39" i="25"/>
  <c r="I36" i="20"/>
  <c r="J37" i="11"/>
  <c r="H41" i="25" l="1"/>
  <c r="I38" i="11"/>
  <c r="H25" i="21"/>
  <c r="G31" i="7"/>
  <c r="I24" i="21"/>
  <c r="H31" i="7"/>
  <c r="I24" i="20"/>
  <c r="I40" i="25"/>
  <c r="I37" i="20"/>
  <c r="J38" i="11"/>
  <c r="H42" i="25" l="1"/>
  <c r="I39" i="11"/>
  <c r="H26" i="21"/>
  <c r="G32" i="7"/>
  <c r="G33" i="7" s="1"/>
  <c r="I38" i="20"/>
  <c r="I25" i="21"/>
  <c r="I25" i="20"/>
  <c r="I41" i="25"/>
  <c r="J39" i="11"/>
  <c r="H32" i="7"/>
  <c r="H33" i="7"/>
  <c r="H43" i="25" l="1"/>
  <c r="I40" i="11"/>
  <c r="H27" i="21"/>
  <c r="G34" i="7"/>
  <c r="I26" i="21"/>
  <c r="H34" i="7"/>
  <c r="I39" i="20"/>
  <c r="I42" i="25"/>
  <c r="J40" i="11"/>
  <c r="I26" i="20"/>
  <c r="H44" i="25" l="1"/>
  <c r="I41" i="11"/>
  <c r="H28" i="21"/>
  <c r="G35" i="7"/>
  <c r="I27" i="21"/>
  <c r="I27" i="20"/>
  <c r="H35" i="7"/>
  <c r="I43" i="25"/>
  <c r="J41" i="11"/>
  <c r="I40" i="20"/>
  <c r="H45" i="25" l="1"/>
  <c r="I42" i="11"/>
  <c r="H29" i="21"/>
  <c r="G36" i="7"/>
  <c r="I28" i="20"/>
  <c r="H36" i="7"/>
  <c r="I44" i="25"/>
  <c r="I28" i="21"/>
  <c r="J42" i="11"/>
  <c r="H46" i="25" l="1"/>
  <c r="I43" i="11"/>
  <c r="H30" i="21"/>
  <c r="G37" i="7"/>
  <c r="I29" i="21"/>
  <c r="J43" i="11"/>
  <c r="I45" i="25"/>
  <c r="I29" i="20"/>
  <c r="H37" i="7"/>
  <c r="H47" i="25" l="1"/>
  <c r="H48" i="25" s="1"/>
  <c r="H49" i="25" s="1"/>
  <c r="H50" i="25" s="1"/>
  <c r="H51" i="25" s="1"/>
  <c r="H52" i="25" s="1"/>
  <c r="H53" i="25" s="1"/>
  <c r="H54" i="25" s="1"/>
  <c r="H55" i="25" s="1"/>
  <c r="I44" i="11"/>
  <c r="H31" i="21"/>
  <c r="G38" i="7"/>
  <c r="J44" i="11"/>
  <c r="I30" i="21"/>
  <c r="H38" i="7"/>
  <c r="I55" i="25"/>
  <c r="I30" i="20"/>
  <c r="I46" i="25"/>
  <c r="H56" i="25" l="1"/>
  <c r="I45" i="11"/>
  <c r="H32" i="21"/>
  <c r="G39" i="7"/>
  <c r="G40" i="7" s="1"/>
  <c r="I31" i="21"/>
  <c r="H40" i="7"/>
  <c r="I31" i="20"/>
  <c r="I56" i="25"/>
  <c r="I47" i="25"/>
  <c r="J45" i="11"/>
  <c r="H39" i="7"/>
  <c r="H57" i="25" l="1"/>
  <c r="I46" i="11"/>
  <c r="H33" i="21"/>
  <c r="H34" i="21" s="1"/>
  <c r="G41" i="7"/>
  <c r="J46" i="11"/>
  <c r="I32" i="21"/>
  <c r="I33" i="21"/>
  <c r="I32" i="20"/>
  <c r="I57" i="25"/>
  <c r="H41" i="7"/>
  <c r="I34" i="21"/>
  <c r="I48" i="25"/>
  <c r="H58" i="25" l="1"/>
  <c r="H64" i="25" s="1"/>
  <c r="H65" i="25" s="1"/>
  <c r="H66" i="25" s="1"/>
  <c r="H67" i="25" s="1"/>
  <c r="H68" i="25" s="1"/>
  <c r="H69" i="25" s="1"/>
  <c r="H70" i="25" s="1"/>
  <c r="H71" i="25" s="1"/>
  <c r="H72" i="25" s="1"/>
  <c r="H73" i="25" s="1"/>
  <c r="H74" i="25" s="1"/>
  <c r="H35" i="21"/>
  <c r="H36" i="21" s="1"/>
  <c r="H37" i="21" s="1"/>
  <c r="H38" i="21" s="1"/>
  <c r="H39" i="21" s="1"/>
  <c r="I47" i="11"/>
  <c r="G42" i="7"/>
  <c r="I33" i="20"/>
  <c r="H42" i="7"/>
  <c r="I49" i="25"/>
  <c r="I58" i="25"/>
  <c r="J47" i="11"/>
  <c r="I36" i="21"/>
  <c r="I35" i="21"/>
  <c r="I48" i="11" l="1"/>
  <c r="G43" i="7"/>
  <c r="J48" i="11"/>
  <c r="I50" i="25"/>
  <c r="H43" i="7"/>
  <c r="I49" i="11" l="1"/>
  <c r="G44" i="7"/>
  <c r="I37" i="21"/>
  <c r="H44" i="7"/>
  <c r="I51" i="25"/>
  <c r="J49" i="11"/>
  <c r="I50" i="11" l="1"/>
  <c r="G45" i="7"/>
  <c r="I38" i="21"/>
  <c r="J50" i="11"/>
  <c r="I52" i="25"/>
  <c r="H45" i="7"/>
  <c r="I39" i="21"/>
  <c r="H40" i="21" l="1"/>
  <c r="I51" i="11"/>
  <c r="G46" i="7"/>
  <c r="J51" i="11"/>
  <c r="I40" i="21"/>
  <c r="H46" i="7"/>
  <c r="I53" i="25"/>
  <c r="H41" i="21" l="1"/>
  <c r="H42" i="21" s="1"/>
  <c r="I52" i="11"/>
  <c r="G47" i="7"/>
  <c r="I41" i="21"/>
  <c r="I42" i="21"/>
  <c r="J52" i="11"/>
  <c r="I54" i="25"/>
  <c r="H47" i="7"/>
  <c r="H43" i="21" l="1"/>
  <c r="I53" i="11"/>
  <c r="G48" i="7"/>
  <c r="I43" i="21"/>
  <c r="H48" i="7"/>
  <c r="H44" i="21" l="1"/>
  <c r="I54" i="11"/>
  <c r="G49" i="7"/>
  <c r="G50" i="7" s="1"/>
  <c r="H49" i="7"/>
  <c r="I44" i="21"/>
  <c r="H50" i="7"/>
  <c r="J53" i="11"/>
  <c r="J54" i="11"/>
  <c r="H45" i="21" l="1"/>
  <c r="I56" i="11"/>
  <c r="I55" i="11"/>
  <c r="G51" i="7"/>
  <c r="J56" i="11"/>
  <c r="H51" i="7"/>
  <c r="I45" i="21"/>
  <c r="J55" i="11"/>
  <c r="I58" i="11" l="1"/>
  <c r="I57" i="11"/>
  <c r="G52" i="7"/>
  <c r="J58" i="11"/>
  <c r="H52" i="7"/>
  <c r="J57" i="11"/>
  <c r="I59" i="11" l="1"/>
  <c r="G53" i="7"/>
  <c r="I64" i="25"/>
  <c r="H53" i="7"/>
  <c r="J59" i="11"/>
  <c r="G54" i="7" l="1"/>
  <c r="J60" i="11"/>
  <c r="H54" i="7"/>
  <c r="I65" i="25"/>
  <c r="G55" i="7" l="1"/>
  <c r="H55" i="7"/>
  <c r="J61" i="11"/>
  <c r="I66" i="25"/>
  <c r="G56" i="7" l="1"/>
  <c r="J62" i="11"/>
  <c r="I67" i="25"/>
  <c r="H56" i="7"/>
  <c r="G57" i="7" l="1"/>
  <c r="H57" i="7"/>
  <c r="I68" i="25"/>
  <c r="G58" i="7" l="1"/>
  <c r="I69" i="25"/>
  <c r="H58" i="7"/>
  <c r="J64" i="11"/>
  <c r="J63" i="11"/>
  <c r="G59" i="7" l="1"/>
  <c r="J65" i="11"/>
  <c r="H59" i="7"/>
  <c r="I70" i="25"/>
  <c r="J67" i="11"/>
  <c r="G60" i="7" l="1"/>
  <c r="J69" i="11"/>
  <c r="H60" i="7"/>
  <c r="I71" i="25"/>
  <c r="J66" i="11"/>
  <c r="J68" i="11"/>
  <c r="G61" i="7" l="1"/>
  <c r="H61" i="7"/>
  <c r="J70" i="11"/>
  <c r="I72" i="25"/>
  <c r="G62" i="7" l="1"/>
  <c r="H62" i="7"/>
  <c r="I73" i="25"/>
  <c r="H59" i="25" l="1"/>
  <c r="G63" i="7"/>
  <c r="I74" i="25"/>
  <c r="H63" i="7"/>
  <c r="H60" i="25" l="1"/>
  <c r="H61" i="25" s="1"/>
  <c r="H62" i="25" s="1"/>
  <c r="H63" i="25" s="1"/>
  <c r="G64" i="7"/>
  <c r="I63" i="25"/>
  <c r="I59" i="25"/>
  <c r="H64" i="7"/>
  <c r="I60" i="25"/>
  <c r="I61" i="25"/>
  <c r="I62" i="25"/>
</calcChain>
</file>

<file path=xl/sharedStrings.xml><?xml version="1.0" encoding="utf-8"?>
<sst xmlns="http://schemas.openxmlformats.org/spreadsheetml/2006/main" count="408" uniqueCount="147">
  <si>
    <t>TRANSAKSI TIDAK DICATAT</t>
  </si>
  <si>
    <t>BEBAN (BIAYA)</t>
  </si>
  <si>
    <t>Jenis Beban</t>
  </si>
  <si>
    <t>Sumber Dana</t>
  </si>
  <si>
    <t>Nilai Transaksi</t>
  </si>
  <si>
    <t>Koreksi (jurnal yang seharusnya)</t>
  </si>
  <si>
    <t>Gaji Karyawan</t>
  </si>
  <si>
    <t>Listrik</t>
  </si>
  <si>
    <t>Telepon</t>
  </si>
  <si>
    <t>Sewa Tempat</t>
  </si>
  <si>
    <t>Kas di Tangan</t>
  </si>
  <si>
    <t>Kas Kecil</t>
  </si>
  <si>
    <t>Bank Mandiri</t>
  </si>
  <si>
    <t>Bank Niaga</t>
  </si>
  <si>
    <t>Bunga Bank</t>
  </si>
  <si>
    <t>Jasa</t>
  </si>
  <si>
    <t>Surat Berharga</t>
  </si>
  <si>
    <t>PENDAPATAN</t>
  </si>
  <si>
    <t>Jenis Pendapatan</t>
  </si>
  <si>
    <t>NILAI TRANSAKSI DICATAT TERLALU KECIL</t>
  </si>
  <si>
    <t>Jurnal yang seharusnya</t>
  </si>
  <si>
    <t>Kesalahan Pencatatan Transaksi</t>
  </si>
  <si>
    <t>Koreksi Pencatatan</t>
  </si>
  <si>
    <t>Isi nilai transaksi (lebih kecil dari nilai seharusnya)</t>
  </si>
  <si>
    <t>NILAI TRANSAKSI DICATAT TERLALU BESAR</t>
  </si>
  <si>
    <t>TRANSFER DANA ANTAR BANK</t>
  </si>
  <si>
    <t>Bank Central Asia</t>
  </si>
  <si>
    <t>Transfer ke</t>
  </si>
  <si>
    <t>Akun salah</t>
  </si>
  <si>
    <t>KESALAHAN NAMA AKUN KREDIT</t>
  </si>
  <si>
    <t>Bank Danamon</t>
  </si>
  <si>
    <t>KESALAHAN NAMA AKUN &amp; NILAI TRANSAKSI</t>
  </si>
  <si>
    <t>Isi nilai transaksi (lebih besar dari nilai seharusnya)</t>
  </si>
  <si>
    <t>Nilai salah</t>
  </si>
  <si>
    <t xml:space="preserve">KESALAHAN PENEMPATAN POSISI AKUN </t>
  </si>
  <si>
    <t>A</t>
  </si>
  <si>
    <t>B</t>
  </si>
  <si>
    <t>C</t>
  </si>
  <si>
    <t>D</t>
  </si>
  <si>
    <t>E</t>
  </si>
  <si>
    <t>F</t>
  </si>
  <si>
    <t>G</t>
  </si>
  <si>
    <t>Tujuan</t>
  </si>
  <si>
    <t>Stasiun A</t>
  </si>
  <si>
    <t>Stasiun B</t>
  </si>
  <si>
    <t>Stasiun C</t>
  </si>
  <si>
    <t>Stasiun D</t>
  </si>
  <si>
    <t>Stasiun E</t>
  </si>
  <si>
    <t>Stasiun F</t>
  </si>
  <si>
    <t>Stasiun G</t>
  </si>
  <si>
    <t>Turun di</t>
  </si>
  <si>
    <t>Koreksi</t>
  </si>
  <si>
    <t>Stasiun</t>
  </si>
  <si>
    <t>Koreksi (naik lagi)</t>
  </si>
  <si>
    <t>Ilustrasi</t>
  </si>
  <si>
    <t>Koreksi (kembali ke)</t>
  </si>
  <si>
    <t>No</t>
  </si>
  <si>
    <t>Salah</t>
  </si>
  <si>
    <t>A ke B</t>
  </si>
  <si>
    <t>A ke C</t>
  </si>
  <si>
    <t>2. dari C kembali ke A, baru kemudian ke B</t>
  </si>
  <si>
    <t>B ke C</t>
  </si>
  <si>
    <t>B ke A</t>
  </si>
  <si>
    <t>2. dari A kembali ke B, baru kemudian ke C</t>
  </si>
  <si>
    <t>2. dari C kembali ke B, baru kemudian ke A</t>
  </si>
  <si>
    <t>C ke B</t>
  </si>
  <si>
    <t>C ke A</t>
  </si>
  <si>
    <t>2. dari A kembali ke C, baru kemudian ke B</t>
  </si>
  <si>
    <t>2. dari B kembeli ke C, baru kemudian ke A</t>
  </si>
  <si>
    <t>Ilustrasi kota:</t>
  </si>
  <si>
    <t>Salah Rute</t>
  </si>
  <si>
    <t>Pilih Tujuan</t>
  </si>
  <si>
    <t>1. langsung dari C ke B, atau</t>
  </si>
  <si>
    <t>1. langsung dari B ke C, atau</t>
  </si>
  <si>
    <t>1. langsung dari A ke C, atau</t>
  </si>
  <si>
    <t>1. langsung dari C ke A, atau</t>
  </si>
  <si>
    <t>1. langsung dari A ke B, atau</t>
  </si>
  <si>
    <t>1. langsung dari B ke A, atau</t>
  </si>
  <si>
    <t>2. dari B kembali ke A, baru kemudian ke C</t>
  </si>
  <si>
    <t>Lokasi</t>
  </si>
  <si>
    <t>Formula</t>
  </si>
  <si>
    <t>Sel</t>
  </si>
  <si>
    <t>G5</t>
  </si>
  <si>
    <t>isi angka 1</t>
  </si>
  <si>
    <t>G6</t>
  </si>
  <si>
    <t>G7</t>
  </si>
  <si>
    <t>H5</t>
  </si>
  <si>
    <t>I5</t>
  </si>
  <si>
    <t>H6</t>
  </si>
  <si>
    <t>H7</t>
  </si>
  <si>
    <t>D10</t>
  </si>
  <si>
    <t>D11</t>
  </si>
  <si>
    <t>D12</t>
  </si>
  <si>
    <t>D13</t>
  </si>
  <si>
    <t>Belum berangkat</t>
  </si>
  <si>
    <t>belum berangkat</t>
  </si>
  <si>
    <t>segera berangkat dan turun di stasiun tujuan</t>
  </si>
  <si>
    <t>TURUN SEBELUM TUJUAN</t>
  </si>
  <si>
    <t>SALAH TUJUAN</t>
  </si>
  <si>
    <t>BELUM BERANGKAT</t>
  </si>
  <si>
    <t>D3</t>
  </si>
  <si>
    <t>D4</t>
  </si>
  <si>
    <t>I6</t>
  </si>
  <si>
    <t>D5</t>
  </si>
  <si>
    <t>TURUN MELEBIHI TUJUAN/KEBABLAS</t>
  </si>
  <si>
    <t>Pilihan beban/biaya</t>
  </si>
  <si>
    <t>Akun</t>
  </si>
  <si>
    <t>Pilihan sumber dana</t>
  </si>
  <si>
    <t>Penjelasan Formula</t>
  </si>
  <si>
    <t>E4</t>
  </si>
  <si>
    <t>E5</t>
  </si>
  <si>
    <t>E6</t>
  </si>
  <si>
    <t>D9</t>
  </si>
  <si>
    <t>F9</t>
  </si>
  <si>
    <t>G9</t>
  </si>
  <si>
    <t>Keterangan</t>
  </si>
  <si>
    <t>K6</t>
  </si>
  <si>
    <t>Akun Kas/Bank</t>
  </si>
  <si>
    <t>Akun Pendapatan</t>
  </si>
  <si>
    <t>C9</t>
  </si>
  <si>
    <t>C10</t>
  </si>
  <si>
    <t>C11</t>
  </si>
  <si>
    <t>G10</t>
  </si>
  <si>
    <t xml:space="preserve">Penjualan </t>
  </si>
  <si>
    <t xml:space="preserve">Pendapatan </t>
  </si>
  <si>
    <t>Disetor ke Akun</t>
  </si>
  <si>
    <t>Akun Biaya/Beban</t>
  </si>
  <si>
    <t>D6</t>
  </si>
  <si>
    <t>C15</t>
  </si>
  <si>
    <t>C16</t>
  </si>
  <si>
    <t>E9</t>
  </si>
  <si>
    <t>F10</t>
  </si>
  <si>
    <t>E15</t>
  </si>
  <si>
    <t>F16</t>
  </si>
  <si>
    <t>C20</t>
  </si>
  <si>
    <t>C21</t>
  </si>
  <si>
    <t>E20</t>
  </si>
  <si>
    <t>F20</t>
  </si>
  <si>
    <t>C24</t>
  </si>
  <si>
    <t>Pilihan Akun</t>
  </si>
  <si>
    <t>Saldo Awal</t>
  </si>
  <si>
    <t>Akun Pilihan</t>
  </si>
  <si>
    <t>SALAH ARAH</t>
  </si>
  <si>
    <t>A4</t>
  </si>
  <si>
    <t>ketik angka 1</t>
  </si>
  <si>
    <t>KESALAHAN NAMA AKUN DEBIT</t>
  </si>
  <si>
    <t>KESALAHAN NAMA AKUN</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</si>
</sst>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1"/>
      <scheme val="minor"/>
    </font>
    <font>
      <b/>
      <sz val="14"/>
      <color rgb="FF0000FF"/>
      <name val="Calibri"/>
      <family val="2"/>
      <scheme val="minor"/>
    </font>
    <font>
      <i/>
      <sz val="11"/>
      <color theme="1"/>
      <name val="Calibri"/>
      <family val="2"/>
      <scheme val="minor"/>
    </font>
    <font>
      <b/>
      <sz val="11"/>
      <color theme="0"/>
      <name val="Calibri"/>
      <family val="2"/>
      <scheme val="minor"/>
    </font>
    <font>
      <sz val="11"/>
      <color rgb="FFFF0000"/>
      <name val="Calibri"/>
      <family val="2"/>
      <charset val="1"/>
      <scheme val="minor"/>
    </font>
    <font>
      <sz val="11"/>
      <color theme="0"/>
      <name val="Calibri"/>
      <family val="2"/>
      <charset val="1"/>
      <scheme val="minor"/>
    </font>
    <font>
      <sz val="11"/>
      <color rgb="FF00B050"/>
      <name val="Calibri"/>
      <family val="2"/>
      <charset val="1"/>
      <scheme val="minor"/>
    </font>
    <font>
      <b/>
      <sz val="11"/>
      <color rgb="FF00B050"/>
      <name val="Calibri"/>
      <family val="2"/>
      <scheme val="minor"/>
    </font>
    <font>
      <b/>
      <sz val="11"/>
      <color rgb="FF0000FF"/>
      <name val="Calibri"/>
      <family val="2"/>
      <scheme val="minor"/>
    </font>
    <font>
      <sz val="11"/>
      <name val="Calibri"/>
      <family val="2"/>
      <charset val="1"/>
      <scheme val="minor"/>
    </font>
    <font>
      <b/>
      <sz val="11"/>
      <color theme="1"/>
      <name val="Calibri"/>
      <family val="2"/>
      <scheme val="minor"/>
    </font>
    <font>
      <b/>
      <sz val="11"/>
      <color rgb="FFFF0000"/>
      <name val="Calibri"/>
      <family val="2"/>
      <scheme val="minor"/>
    </font>
    <font>
      <b/>
      <sz val="11"/>
      <name val="Calibri"/>
      <family val="2"/>
      <scheme val="minor"/>
    </font>
    <font>
      <sz val="11"/>
      <color theme="1"/>
      <name val="Calibri"/>
      <family val="2"/>
      <scheme val="minor"/>
    </font>
  </fonts>
  <fills count="19">
    <fill>
      <patternFill patternType="none"/>
    </fill>
    <fill>
      <patternFill patternType="gray125"/>
    </fill>
    <fill>
      <patternFill patternType="solid">
        <fgColor rgb="FFFF0000"/>
        <bgColor indexed="64"/>
      </patternFill>
    </fill>
    <fill>
      <patternFill patternType="solid">
        <fgColor theme="0" tint="-4.9989318521683403E-2"/>
        <bgColor indexed="64"/>
      </patternFill>
    </fill>
    <fill>
      <patternFill patternType="solid">
        <fgColor theme="3" tint="-0.249977111117893"/>
        <bgColor indexed="64"/>
      </patternFill>
    </fill>
    <fill>
      <patternFill patternType="solid">
        <fgColor rgb="FF00B050"/>
        <bgColor indexed="64"/>
      </patternFill>
    </fill>
    <fill>
      <patternFill patternType="solid">
        <fgColor rgb="FF0000FF"/>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theme="3" tint="-0.499984740745262"/>
        <bgColor indexed="64"/>
      </patternFill>
    </fill>
    <fill>
      <patternFill patternType="solid">
        <fgColor theme="4" tint="-0.499984740745262"/>
        <bgColor indexed="64"/>
      </patternFill>
    </fill>
    <fill>
      <patternFill patternType="solid">
        <fgColor theme="8" tint="-0.499984740745262"/>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9" tint="0.79998168889431442"/>
        <bgColor indexed="64"/>
      </patternFill>
    </fill>
    <fill>
      <patternFill patternType="solid">
        <fgColor theme="5"/>
        <bgColor indexed="64"/>
      </patternFill>
    </fill>
    <fill>
      <patternFill patternType="solid">
        <fgColor theme="9" tint="-0.249977111117893"/>
        <bgColor indexed="64"/>
      </patternFill>
    </fill>
  </fills>
  <borders count="15">
    <border>
      <left/>
      <right/>
      <top/>
      <bottom/>
      <diagonal/>
    </border>
    <border>
      <left style="thin">
        <color theme="0"/>
      </left>
      <right/>
      <top/>
      <bottom/>
      <diagonal/>
    </border>
    <border>
      <left/>
      <right/>
      <top style="thin">
        <color theme="0"/>
      </top>
      <bottom style="thin">
        <color theme="0"/>
      </bottom>
      <diagonal/>
    </border>
    <border>
      <left/>
      <right/>
      <top/>
      <bottom style="thin">
        <color theme="0"/>
      </bottom>
      <diagonal/>
    </border>
    <border>
      <left style="thin">
        <color theme="0"/>
      </left>
      <right style="thin">
        <color theme="0"/>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right style="thin">
        <color theme="0"/>
      </right>
      <top/>
      <bottom style="thin">
        <color theme="0"/>
      </bottom>
      <diagonal/>
    </border>
    <border>
      <left/>
      <right style="thin">
        <color theme="0"/>
      </right>
      <top/>
      <bottom/>
      <diagonal/>
    </border>
    <border>
      <left style="thin">
        <color theme="0"/>
      </left>
      <right style="thin">
        <color theme="0"/>
      </right>
      <top style="thin">
        <color theme="0"/>
      </top>
      <bottom/>
      <diagonal/>
    </border>
  </borders>
  <cellStyleXfs count="1">
    <xf numFmtId="0" fontId="0" fillId="0" borderId="0"/>
  </cellStyleXfs>
  <cellXfs count="157">
    <xf numFmtId="0" fontId="0" fillId="0" borderId="0" xfId="0"/>
    <xf numFmtId="0" fontId="0" fillId="0" borderId="0" xfId="0" applyAlignment="1">
      <alignment vertical="center"/>
    </xf>
    <xf numFmtId="0" fontId="1" fillId="0" borderId="0" xfId="0" applyFont="1" applyAlignment="1">
      <alignment vertical="center"/>
    </xf>
    <xf numFmtId="0" fontId="0" fillId="2" borderId="0" xfId="0" applyFill="1" applyAlignment="1">
      <alignment vertical="center"/>
    </xf>
    <xf numFmtId="0" fontId="0" fillId="3" borderId="0" xfId="0" applyFill="1" applyAlignment="1">
      <alignment vertical="center"/>
    </xf>
    <xf numFmtId="0" fontId="0" fillId="3" borderId="0" xfId="0" applyFill="1" applyAlignment="1">
      <alignment horizontal="left" vertical="center" indent="1"/>
    </xf>
    <xf numFmtId="37" fontId="0" fillId="3" borderId="0" xfId="0" applyNumberFormat="1" applyFill="1" applyAlignment="1">
      <alignment vertical="center"/>
    </xf>
    <xf numFmtId="0" fontId="0" fillId="3" borderId="0" xfId="0" applyFill="1" applyAlignment="1">
      <alignment horizontal="left" vertical="center" indent="6"/>
    </xf>
    <xf numFmtId="0" fontId="2" fillId="3" borderId="0" xfId="0" applyFont="1" applyFill="1" applyAlignment="1">
      <alignment horizontal="left" vertical="center" indent="1"/>
    </xf>
    <xf numFmtId="0" fontId="3" fillId="4" borderId="0" xfId="0" applyFont="1" applyFill="1" applyAlignment="1">
      <alignment vertical="center"/>
    </xf>
    <xf numFmtId="0" fontId="3" fillId="4" borderId="0" xfId="0" applyFont="1" applyFill="1" applyAlignment="1">
      <alignment horizontal="left" vertical="center" indent="1"/>
    </xf>
    <xf numFmtId="0" fontId="0" fillId="3" borderId="1" xfId="0" applyFill="1" applyBorder="1" applyAlignment="1">
      <alignment horizontal="left" vertical="center" indent="1"/>
    </xf>
    <xf numFmtId="0" fontId="0" fillId="3" borderId="0" xfId="0" applyFill="1" applyBorder="1" applyAlignment="1">
      <alignment vertical="center"/>
    </xf>
    <xf numFmtId="37" fontId="0" fillId="0" borderId="0" xfId="0" applyNumberFormat="1" applyAlignment="1">
      <alignment vertical="center"/>
    </xf>
    <xf numFmtId="0" fontId="4" fillId="3" borderId="1" xfId="0" applyFont="1" applyFill="1" applyBorder="1" applyAlignment="1">
      <alignment horizontal="left" vertical="center" indent="1"/>
    </xf>
    <xf numFmtId="0" fontId="0" fillId="0" borderId="0" xfId="0" applyFill="1" applyAlignment="1">
      <alignment vertical="center"/>
    </xf>
    <xf numFmtId="0" fontId="0" fillId="5" borderId="0" xfId="0" applyFill="1" applyAlignment="1">
      <alignment vertical="center"/>
    </xf>
    <xf numFmtId="0" fontId="0" fillId="6" borderId="0" xfId="0" applyFill="1" applyAlignment="1">
      <alignment vertical="center"/>
    </xf>
    <xf numFmtId="0" fontId="6" fillId="5" borderId="0" xfId="0" applyFont="1" applyFill="1" applyAlignment="1">
      <alignment vertical="center"/>
    </xf>
    <xf numFmtId="0" fontId="3" fillId="7" borderId="0" xfId="0" applyFont="1" applyFill="1" applyAlignment="1">
      <alignment horizontal="left" vertical="center" indent="2"/>
    </xf>
    <xf numFmtId="0" fontId="5"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37" fontId="0" fillId="0" borderId="0" xfId="0" applyNumberFormat="1" applyFill="1" applyAlignment="1">
      <alignment vertical="center"/>
    </xf>
    <xf numFmtId="0" fontId="8" fillId="0" borderId="0" xfId="0" applyFont="1" applyFill="1" applyAlignment="1">
      <alignment vertical="center"/>
    </xf>
    <xf numFmtId="0" fontId="9" fillId="0" borderId="0" xfId="0" applyFont="1" applyAlignment="1">
      <alignment vertical="center"/>
    </xf>
    <xf numFmtId="0" fontId="0" fillId="0" borderId="0" xfId="0" applyAlignment="1">
      <alignment horizontal="left" vertical="center" wrapText="1" indent="1"/>
    </xf>
    <xf numFmtId="0" fontId="5" fillId="0" borderId="2" xfId="0" applyFont="1" applyBorder="1" applyAlignment="1">
      <alignment vertical="center"/>
    </xf>
    <xf numFmtId="0" fontId="3" fillId="9" borderId="2" xfId="0" applyFont="1" applyFill="1" applyBorder="1" applyAlignment="1">
      <alignment horizontal="center" vertical="center"/>
    </xf>
    <xf numFmtId="0" fontId="3" fillId="9" borderId="4" xfId="0" applyFont="1" applyFill="1" applyBorder="1" applyAlignment="1">
      <alignment horizontal="center" vertical="center"/>
    </xf>
    <xf numFmtId="0" fontId="10" fillId="0" borderId="0" xfId="0" applyFont="1" applyAlignment="1">
      <alignment vertical="center"/>
    </xf>
    <xf numFmtId="0" fontId="3" fillId="11" borderId="0" xfId="0" applyFont="1" applyFill="1" applyAlignment="1">
      <alignment horizontal="left" vertical="center" indent="1"/>
    </xf>
    <xf numFmtId="0" fontId="3" fillId="12" borderId="0" xfId="0" applyFont="1" applyFill="1" applyAlignment="1">
      <alignment horizontal="left" vertical="center" indent="1"/>
    </xf>
    <xf numFmtId="0" fontId="0" fillId="8" borderId="0" xfId="0" applyFill="1" applyAlignment="1">
      <alignment horizontal="left" vertical="center" indent="1"/>
    </xf>
    <xf numFmtId="0" fontId="0" fillId="8" borderId="1" xfId="0" applyFill="1" applyBorder="1" applyAlignment="1">
      <alignment horizontal="left" vertical="center" indent="1"/>
    </xf>
    <xf numFmtId="0" fontId="3" fillId="4" borderId="0" xfId="0" applyFont="1" applyFill="1" applyBorder="1" applyAlignment="1">
      <alignment horizontal="left" vertical="center" indent="1"/>
    </xf>
    <xf numFmtId="0" fontId="3" fillId="4" borderId="0" xfId="0" applyFont="1" applyFill="1" applyBorder="1" applyAlignment="1">
      <alignment vertical="center"/>
    </xf>
    <xf numFmtId="0" fontId="3" fillId="4" borderId="3" xfId="0" applyFont="1" applyFill="1" applyBorder="1" applyAlignment="1">
      <alignment horizontal="left" vertical="center" indent="1"/>
    </xf>
    <xf numFmtId="0" fontId="3" fillId="4" borderId="3" xfId="0" applyFont="1" applyFill="1" applyBorder="1" applyAlignment="1">
      <alignment vertical="center"/>
    </xf>
    <xf numFmtId="0" fontId="0" fillId="8" borderId="5" xfId="0" applyFill="1" applyBorder="1" applyAlignment="1">
      <alignment horizontal="left" vertical="center" indent="1"/>
    </xf>
    <xf numFmtId="0" fontId="4" fillId="0" borderId="0" xfId="0" applyFont="1" applyAlignment="1">
      <alignment vertical="center"/>
    </xf>
    <xf numFmtId="0" fontId="11" fillId="0" borderId="0" xfId="0" applyFont="1" applyAlignment="1">
      <alignment vertical="center"/>
    </xf>
    <xf numFmtId="0" fontId="4" fillId="0" borderId="2" xfId="0" applyFont="1" applyBorder="1" applyAlignment="1">
      <alignment vertical="center"/>
    </xf>
    <xf numFmtId="0" fontId="0" fillId="12" borderId="0" xfId="0" applyFill="1" applyAlignment="1">
      <alignment vertical="center"/>
    </xf>
    <xf numFmtId="0" fontId="0" fillId="8" borderId="0" xfId="0" applyFill="1" applyAlignment="1">
      <alignment vertical="center"/>
    </xf>
    <xf numFmtId="0" fontId="0" fillId="8" borderId="0" xfId="0" applyFill="1" applyAlignment="1">
      <alignment horizontal="center" vertical="center"/>
    </xf>
    <xf numFmtId="0" fontId="0" fillId="8" borderId="6" xfId="0" applyFill="1" applyBorder="1" applyAlignment="1">
      <alignment horizontal="left" vertical="center" indent="1"/>
    </xf>
    <xf numFmtId="0" fontId="3" fillId="4" borderId="3" xfId="0" applyFont="1" applyFill="1" applyBorder="1" applyAlignment="1">
      <alignment horizontal="center" vertical="center"/>
    </xf>
    <xf numFmtId="0" fontId="3" fillId="4" borderId="7" xfId="0" applyFont="1" applyFill="1" applyBorder="1" applyAlignment="1">
      <alignment horizontal="center" vertical="center"/>
    </xf>
    <xf numFmtId="0" fontId="3" fillId="12" borderId="0" xfId="0" applyFont="1" applyFill="1" applyAlignment="1">
      <alignment horizontal="center" vertical="center"/>
    </xf>
    <xf numFmtId="0" fontId="3" fillId="12" borderId="1" xfId="0" applyFont="1" applyFill="1" applyBorder="1" applyAlignment="1">
      <alignment horizontal="center" vertical="center"/>
    </xf>
    <xf numFmtId="0" fontId="0" fillId="8" borderId="0" xfId="0" applyFill="1" applyBorder="1" applyAlignment="1">
      <alignment vertical="center"/>
    </xf>
    <xf numFmtId="0" fontId="3" fillId="9" borderId="8" xfId="0" applyFont="1" applyFill="1" applyBorder="1" applyAlignment="1">
      <alignment horizontal="center" vertical="center"/>
    </xf>
    <xf numFmtId="0" fontId="5" fillId="0" borderId="1" xfId="0" applyFont="1" applyBorder="1" applyAlignment="1">
      <alignment vertical="center"/>
    </xf>
    <xf numFmtId="0" fontId="5" fillId="0" borderId="0" xfId="0" applyFont="1" applyBorder="1" applyAlignment="1">
      <alignment vertical="center"/>
    </xf>
    <xf numFmtId="0" fontId="4" fillId="0" borderId="8" xfId="0" applyFont="1" applyBorder="1" applyAlignment="1">
      <alignment vertical="center"/>
    </xf>
    <xf numFmtId="0" fontId="9" fillId="0" borderId="1" xfId="0" applyFont="1" applyBorder="1" applyAlignment="1">
      <alignment vertical="center"/>
    </xf>
    <xf numFmtId="0" fontId="9" fillId="0" borderId="0" xfId="0" applyFont="1" applyBorder="1" applyAlignment="1">
      <alignment vertical="center"/>
    </xf>
    <xf numFmtId="0" fontId="5" fillId="0" borderId="8" xfId="0" applyFont="1" applyBorder="1" applyAlignment="1">
      <alignment vertical="center"/>
    </xf>
    <xf numFmtId="0" fontId="3" fillId="7" borderId="3" xfId="0" applyFont="1" applyFill="1" applyBorder="1" applyAlignment="1">
      <alignment horizontal="center" vertical="center"/>
    </xf>
    <xf numFmtId="0" fontId="3" fillId="7" borderId="5" xfId="0" applyFont="1" applyFill="1" applyBorder="1" applyAlignment="1">
      <alignment horizontal="center" vertical="center"/>
    </xf>
    <xf numFmtId="0" fontId="3" fillId="0" borderId="0" xfId="0" applyFont="1" applyFill="1" applyBorder="1" applyAlignment="1">
      <alignment vertical="center"/>
    </xf>
    <xf numFmtId="0" fontId="0" fillId="8" borderId="1" xfId="0" applyFill="1" applyBorder="1" applyAlignment="1">
      <alignment horizontal="left" vertical="center" indent="2"/>
    </xf>
    <xf numFmtId="0" fontId="0" fillId="8" borderId="0" xfId="0" applyFill="1" applyAlignment="1">
      <alignment horizontal="center" vertical="center"/>
    </xf>
    <xf numFmtId="0" fontId="0" fillId="8" borderId="9" xfId="0" applyFill="1" applyBorder="1" applyAlignment="1">
      <alignment horizontal="left" vertical="center" indent="1"/>
    </xf>
    <xf numFmtId="0" fontId="0" fillId="8" borderId="10" xfId="0" applyFill="1" applyBorder="1" applyAlignment="1">
      <alignment vertical="center"/>
    </xf>
    <xf numFmtId="0" fontId="0" fillId="0" borderId="0" xfId="0" applyAlignment="1">
      <alignment horizontal="left" vertical="center" indent="1"/>
    </xf>
    <xf numFmtId="0" fontId="0" fillId="0" borderId="0" xfId="0" applyAlignment="1">
      <alignment horizontal="center" vertical="center"/>
    </xf>
    <xf numFmtId="0" fontId="12" fillId="0" borderId="0" xfId="0" applyFont="1" applyAlignment="1">
      <alignment vertical="center"/>
    </xf>
    <xf numFmtId="0" fontId="3" fillId="7" borderId="0" xfId="0" applyFont="1" applyFill="1" applyAlignment="1">
      <alignment horizontal="center" vertical="center"/>
    </xf>
    <xf numFmtId="0" fontId="3" fillId="7" borderId="6" xfId="0" applyFont="1" applyFill="1" applyBorder="1" applyAlignment="1">
      <alignment horizontal="center" vertical="center"/>
    </xf>
    <xf numFmtId="0" fontId="0" fillId="0" borderId="0" xfId="0" applyAlignment="1">
      <alignment horizontal="center" vertical="center"/>
    </xf>
    <xf numFmtId="0" fontId="0" fillId="8" borderId="0" xfId="0" applyFill="1" applyAlignment="1">
      <alignment horizontal="left" vertical="center"/>
    </xf>
    <xf numFmtId="0" fontId="2" fillId="8" borderId="0" xfId="0" applyFont="1" applyFill="1" applyAlignment="1">
      <alignment horizontal="left" vertical="center" indent="1"/>
    </xf>
    <xf numFmtId="37" fontId="0" fillId="8" borderId="0" xfId="0" applyNumberFormat="1" applyFill="1" applyAlignment="1">
      <alignment vertical="center"/>
    </xf>
    <xf numFmtId="0" fontId="11" fillId="0" borderId="0" xfId="0" applyFont="1" applyFill="1" applyAlignment="1">
      <alignment vertical="center"/>
    </xf>
    <xf numFmtId="0" fontId="0" fillId="13" borderId="0" xfId="0" applyFill="1" applyAlignment="1">
      <alignment vertical="center"/>
    </xf>
    <xf numFmtId="37" fontId="0" fillId="8" borderId="5" xfId="0" applyNumberFormat="1" applyFill="1" applyBorder="1" applyAlignment="1">
      <alignment vertical="center"/>
    </xf>
    <xf numFmtId="0" fontId="3" fillId="13" borderId="3" xfId="0" applyFont="1" applyFill="1" applyBorder="1" applyAlignment="1">
      <alignment horizontal="center" vertical="center"/>
    </xf>
    <xf numFmtId="0" fontId="3" fillId="13" borderId="5" xfId="0" applyFont="1" applyFill="1" applyBorder="1" applyAlignment="1">
      <alignment horizontal="center" vertical="center"/>
    </xf>
    <xf numFmtId="0" fontId="3" fillId="4" borderId="0" xfId="0" applyFont="1" applyFill="1" applyAlignment="1">
      <alignment horizontal="center" vertical="center"/>
    </xf>
    <xf numFmtId="37" fontId="0" fillId="8" borderId="1" xfId="0" applyNumberFormat="1" applyFill="1" applyBorder="1" applyAlignment="1">
      <alignment horizontal="left" vertical="center" indent="1"/>
    </xf>
    <xf numFmtId="0" fontId="0" fillId="0" borderId="0" xfId="0" applyAlignment="1">
      <alignment vertical="center" wrapText="1"/>
    </xf>
    <xf numFmtId="0" fontId="3" fillId="9" borderId="0" xfId="0" applyFont="1" applyFill="1" applyAlignment="1">
      <alignment vertical="center"/>
    </xf>
    <xf numFmtId="0" fontId="3" fillId="9" borderId="0" xfId="0" applyFont="1" applyFill="1" applyAlignment="1">
      <alignment horizontal="left" vertical="center" indent="1"/>
    </xf>
    <xf numFmtId="0" fontId="0" fillId="14" borderId="1" xfId="0" applyFill="1" applyBorder="1" applyAlignment="1">
      <alignment horizontal="left" vertical="center" indent="1"/>
    </xf>
    <xf numFmtId="0" fontId="0" fillId="14" borderId="0" xfId="0" applyFill="1" applyBorder="1" applyAlignment="1">
      <alignment vertical="center"/>
    </xf>
    <xf numFmtId="0" fontId="0" fillId="16" borderId="0" xfId="0" applyFill="1" applyAlignment="1">
      <alignment horizontal="center" vertical="center"/>
    </xf>
    <xf numFmtId="37" fontId="0" fillId="16" borderId="0" xfId="0" applyNumberFormat="1" applyFill="1" applyAlignment="1">
      <alignment vertical="center"/>
    </xf>
    <xf numFmtId="0" fontId="3" fillId="15" borderId="0" xfId="0" applyFont="1" applyFill="1" applyAlignment="1">
      <alignment horizontal="center" vertical="center"/>
    </xf>
    <xf numFmtId="0" fontId="3" fillId="15" borderId="6" xfId="0" applyFont="1" applyFill="1" applyBorder="1" applyAlignment="1">
      <alignment horizontal="center" vertical="center"/>
    </xf>
    <xf numFmtId="0" fontId="0" fillId="16" borderId="6" xfId="0" applyFill="1" applyBorder="1" applyAlignment="1">
      <alignment horizontal="left" vertical="center" indent="1"/>
    </xf>
    <xf numFmtId="0" fontId="0" fillId="0" borderId="0" xfId="0" applyFill="1" applyAlignment="1">
      <alignment horizontal="left" vertical="center" indent="1"/>
    </xf>
    <xf numFmtId="0" fontId="0" fillId="0" borderId="0" xfId="0" applyFill="1" applyAlignment="1">
      <alignment horizontal="left" vertical="center" indent="6"/>
    </xf>
    <xf numFmtId="0" fontId="0" fillId="0" borderId="0" xfId="0" applyAlignment="1">
      <alignment horizontal="left" vertical="center" indent="1"/>
    </xf>
    <xf numFmtId="0" fontId="0" fillId="0" borderId="3" xfId="0" applyBorder="1" applyAlignment="1">
      <alignment horizontal="center" vertical="center"/>
    </xf>
    <xf numFmtId="0" fontId="0" fillId="0" borderId="1" xfId="0" applyBorder="1" applyAlignment="1">
      <alignment horizontal="left" vertical="center" indent="1"/>
    </xf>
    <xf numFmtId="0" fontId="0" fillId="0" borderId="5" xfId="0" applyBorder="1" applyAlignment="1">
      <alignment horizontal="center" vertical="center"/>
    </xf>
    <xf numFmtId="0" fontId="7" fillId="0" borderId="0" xfId="0" applyFont="1" applyFill="1" applyAlignment="1">
      <alignment vertical="center"/>
    </xf>
    <xf numFmtId="0" fontId="2" fillId="0" borderId="0" xfId="0" applyFont="1" applyAlignment="1">
      <alignment vertical="center" wrapText="1"/>
    </xf>
    <xf numFmtId="0" fontId="3" fillId="4" borderId="3" xfId="0" applyFont="1" applyFill="1" applyBorder="1" applyAlignment="1">
      <alignment horizontal="center" vertical="center"/>
    </xf>
    <xf numFmtId="0" fontId="0" fillId="8" borderId="0" xfId="0" applyFill="1" applyAlignment="1">
      <alignment horizontal="center" vertical="center"/>
    </xf>
    <xf numFmtId="0" fontId="0" fillId="0" borderId="0" xfId="0" applyAlignment="1">
      <alignment horizontal="center" vertical="center"/>
    </xf>
    <xf numFmtId="0" fontId="0" fillId="0" borderId="0" xfId="0" applyAlignment="1">
      <alignment horizontal="left" vertical="center" wrapText="1" indent="1"/>
    </xf>
    <xf numFmtId="0" fontId="3" fillId="17" borderId="0" xfId="0" applyFont="1" applyFill="1" applyAlignment="1">
      <alignment vertical="center"/>
    </xf>
    <xf numFmtId="0" fontId="3" fillId="17" borderId="0" xfId="0" applyFont="1" applyFill="1" applyAlignment="1">
      <alignment horizontal="left" vertical="center" indent="1"/>
    </xf>
    <xf numFmtId="0" fontId="3" fillId="18" borderId="0" xfId="0" applyFont="1" applyFill="1" applyAlignment="1">
      <alignment horizontal="left" vertical="center" indent="2"/>
    </xf>
    <xf numFmtId="0" fontId="0" fillId="8" borderId="0" xfId="0" applyFill="1" applyBorder="1" applyAlignment="1">
      <alignment horizontal="left" vertical="center" indent="1"/>
    </xf>
    <xf numFmtId="0" fontId="0" fillId="0" borderId="0" xfId="0" applyAlignment="1">
      <alignment horizontal="center" vertical="center"/>
    </xf>
    <xf numFmtId="0" fontId="0" fillId="0" borderId="0" xfId="0" applyAlignment="1">
      <alignment horizontal="left" vertical="center" indent="1"/>
    </xf>
    <xf numFmtId="0" fontId="2" fillId="0" borderId="0" xfId="0" applyFont="1" applyAlignment="1">
      <alignment horizontal="center" vertical="center" wrapText="1"/>
    </xf>
    <xf numFmtId="0" fontId="3" fillId="5" borderId="4" xfId="0" applyFont="1" applyFill="1" applyBorder="1" applyAlignment="1">
      <alignment horizontal="center" vertical="center"/>
    </xf>
    <xf numFmtId="0" fontId="9" fillId="0" borderId="0" xfId="0" applyFont="1" applyFill="1" applyBorder="1" applyAlignment="1">
      <alignment vertical="center"/>
    </xf>
    <xf numFmtId="0" fontId="11" fillId="0" borderId="13" xfId="0" applyFont="1" applyBorder="1" applyAlignment="1">
      <alignment vertical="center"/>
    </xf>
    <xf numFmtId="0" fontId="0" fillId="0" borderId="13" xfId="0" applyBorder="1" applyAlignment="1">
      <alignment vertical="center"/>
    </xf>
    <xf numFmtId="0" fontId="3" fillId="11" borderId="13" xfId="0" applyFont="1" applyFill="1" applyBorder="1" applyAlignment="1">
      <alignment horizontal="left" vertical="center" indent="1"/>
    </xf>
    <xf numFmtId="0" fontId="4" fillId="0" borderId="10" xfId="0" applyFont="1" applyBorder="1" applyAlignment="1">
      <alignment vertical="center"/>
    </xf>
    <xf numFmtId="0" fontId="6" fillId="5" borderId="14" xfId="0" applyFont="1" applyFill="1" applyBorder="1" applyAlignment="1">
      <alignment vertical="center"/>
    </xf>
    <xf numFmtId="0" fontId="4" fillId="5" borderId="4" xfId="0" applyFont="1" applyFill="1" applyBorder="1" applyAlignment="1">
      <alignment vertical="center"/>
    </xf>
    <xf numFmtId="0" fontId="9" fillId="5" borderId="6" xfId="0" applyFont="1" applyFill="1" applyBorder="1" applyAlignment="1">
      <alignment vertical="center"/>
    </xf>
    <xf numFmtId="0" fontId="0" fillId="8" borderId="1" xfId="0" applyFill="1" applyBorder="1" applyAlignment="1">
      <alignment vertical="center"/>
    </xf>
    <xf numFmtId="0" fontId="13" fillId="0" borderId="0" xfId="0" applyFont="1" applyAlignment="1">
      <alignment vertical="center"/>
    </xf>
    <xf numFmtId="0" fontId="3" fillId="9" borderId="5" xfId="0" applyFont="1" applyFill="1" applyBorder="1" applyAlignment="1">
      <alignment horizontal="center" vertical="center"/>
    </xf>
    <xf numFmtId="0" fontId="3" fillId="9" borderId="3" xfId="0" applyFont="1" applyFill="1" applyBorder="1" applyAlignment="1">
      <alignment horizontal="center" vertical="center"/>
    </xf>
    <xf numFmtId="0" fontId="3" fillId="10" borderId="0" xfId="0" applyFont="1" applyFill="1" applyAlignment="1">
      <alignment horizontal="center" vertical="center"/>
    </xf>
    <xf numFmtId="0" fontId="0" fillId="8" borderId="1" xfId="0" applyFill="1" applyBorder="1" applyAlignment="1">
      <alignment horizontal="left" vertical="center" wrapText="1" indent="1"/>
    </xf>
    <xf numFmtId="0" fontId="3" fillId="4" borderId="1" xfId="0" applyFont="1" applyFill="1" applyBorder="1" applyAlignment="1">
      <alignment horizontal="center" vertical="center"/>
    </xf>
    <xf numFmtId="0" fontId="3" fillId="4" borderId="0" xfId="0" applyFont="1" applyFill="1" applyBorder="1" applyAlignment="1">
      <alignment horizontal="center" vertical="center"/>
    </xf>
    <xf numFmtId="0" fontId="0" fillId="8" borderId="0" xfId="0" applyFill="1" applyBorder="1" applyAlignment="1">
      <alignment horizontal="left" vertical="center" wrapText="1" indent="1"/>
    </xf>
    <xf numFmtId="0" fontId="3" fillId="4" borderId="5" xfId="0" applyFont="1" applyFill="1" applyBorder="1" applyAlignment="1">
      <alignment horizontal="center" vertical="center"/>
    </xf>
    <xf numFmtId="0" fontId="3" fillId="4" borderId="3" xfId="0" applyFont="1" applyFill="1" applyBorder="1" applyAlignment="1">
      <alignment horizontal="center" vertical="center"/>
    </xf>
    <xf numFmtId="0" fontId="3" fillId="7" borderId="5" xfId="0" applyFont="1" applyFill="1" applyBorder="1" applyAlignment="1">
      <alignment horizontal="center" vertical="center"/>
    </xf>
    <xf numFmtId="0" fontId="3" fillId="7" borderId="3" xfId="0" applyFont="1" applyFill="1" applyBorder="1" applyAlignment="1">
      <alignment horizontal="center" vertical="center"/>
    </xf>
    <xf numFmtId="0" fontId="0" fillId="8" borderId="0" xfId="0" applyFill="1" applyAlignment="1">
      <alignment horizontal="center" vertical="center"/>
    </xf>
    <xf numFmtId="0" fontId="3" fillId="12" borderId="5" xfId="0" applyFont="1" applyFill="1" applyBorder="1" applyAlignment="1">
      <alignment horizontal="center" vertical="center"/>
    </xf>
    <xf numFmtId="0" fontId="3" fillId="12" borderId="3" xfId="0" applyFont="1" applyFill="1" applyBorder="1" applyAlignment="1">
      <alignment horizontal="center" vertical="center"/>
    </xf>
    <xf numFmtId="37" fontId="0" fillId="3" borderId="1" xfId="0" applyNumberFormat="1" applyFill="1" applyBorder="1" applyAlignment="1">
      <alignment horizontal="left" vertical="center" indent="1"/>
    </xf>
    <xf numFmtId="37" fontId="0" fillId="3" borderId="0" xfId="0" applyNumberFormat="1" applyFill="1" applyBorder="1" applyAlignment="1">
      <alignment horizontal="left" vertical="center" indent="1"/>
    </xf>
    <xf numFmtId="0" fontId="0" fillId="8" borderId="13" xfId="0" applyFill="1" applyBorder="1" applyAlignment="1">
      <alignment horizontal="center" vertical="center"/>
    </xf>
    <xf numFmtId="0" fontId="0" fillId="8" borderId="10" xfId="0" applyFill="1" applyBorder="1" applyAlignment="1">
      <alignment horizontal="center" vertical="center"/>
    </xf>
    <xf numFmtId="0" fontId="0" fillId="8" borderId="11" xfId="0" applyFill="1" applyBorder="1" applyAlignment="1">
      <alignment horizontal="center" vertical="center"/>
    </xf>
    <xf numFmtId="0" fontId="3" fillId="12" borderId="12" xfId="0" applyFont="1" applyFill="1" applyBorder="1" applyAlignment="1">
      <alignment horizontal="center" vertical="center"/>
    </xf>
    <xf numFmtId="0" fontId="2" fillId="0" borderId="0" xfId="0" applyFont="1" applyFill="1" applyAlignment="1">
      <alignment horizontal="center" vertical="center" wrapText="1"/>
    </xf>
    <xf numFmtId="0" fontId="2" fillId="8" borderId="0" xfId="0" applyFont="1" applyFill="1" applyAlignment="1">
      <alignment horizontal="center" vertical="center" wrapText="1"/>
    </xf>
    <xf numFmtId="37" fontId="0" fillId="14" borderId="1" xfId="0" applyNumberFormat="1" applyFill="1" applyBorder="1" applyAlignment="1">
      <alignment horizontal="left" vertical="center" indent="1"/>
    </xf>
    <xf numFmtId="37" fontId="0" fillId="14" borderId="0" xfId="0" applyNumberFormat="1" applyFill="1" applyBorder="1" applyAlignment="1">
      <alignment horizontal="left" vertical="center" indent="1"/>
    </xf>
    <xf numFmtId="0" fontId="3" fillId="0" borderId="2"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indent="1"/>
    </xf>
    <xf numFmtId="0" fontId="0" fillId="0" borderId="0" xfId="0" applyAlignment="1">
      <alignment horizontal="left" vertical="center" wrapText="1" indent="2"/>
    </xf>
    <xf numFmtId="0" fontId="2" fillId="0" borderId="0" xfId="0" applyFont="1" applyAlignment="1">
      <alignment horizontal="center" vertical="center" wrapText="1"/>
    </xf>
    <xf numFmtId="0" fontId="0" fillId="0" borderId="0" xfId="0" applyAlignment="1">
      <alignment horizontal="left" vertical="center" wrapText="1" indent="1"/>
    </xf>
    <xf numFmtId="0" fontId="0" fillId="0" borderId="0" xfId="0" applyAlignment="1">
      <alignment horizontal="center" vertical="center" wrapText="1"/>
    </xf>
    <xf numFmtId="0" fontId="0" fillId="0" borderId="0" xfId="0" applyFont="1" applyAlignment="1">
      <alignment horizontal="left" vertical="center" indent="1"/>
    </xf>
    <xf numFmtId="0" fontId="0" fillId="0" borderId="0" xfId="0" applyFont="1" applyAlignment="1">
      <alignment horizontal="left" vertical="center" wrapText="1" indent="1"/>
    </xf>
    <xf numFmtId="37" fontId="4" fillId="3" borderId="1" xfId="0" applyNumberFormat="1" applyFont="1" applyFill="1" applyBorder="1" applyAlignment="1">
      <alignment horizontal="left" vertical="center" indent="1"/>
    </xf>
    <xf numFmtId="37" fontId="4" fillId="3" borderId="0" xfId="0" applyNumberFormat="1" applyFont="1" applyFill="1" applyBorder="1" applyAlignment="1">
      <alignment horizontal="left" vertical="center" indent="1"/>
    </xf>
  </cellXfs>
  <cellStyles count="1">
    <cellStyle name="Normal" xfId="0" builtinId="0"/>
  </cellStyles>
  <dxfs count="87">
    <dxf>
      <alignment horizontal="left" vertical="center" textRotation="0" wrapText="0" relativeIndent="1" justifyLastLine="0" shrinkToFit="0" readingOrder="0"/>
    </dxf>
    <dxf>
      <alignment horizontal="center" vertical="center" textRotation="0" wrapText="0" indent="0" justifyLastLine="0" shrinkToFit="0" readingOrder="0"/>
    </dxf>
    <dxf>
      <border>
        <bottom style="thin">
          <color theme="0"/>
        </bottom>
      </border>
    </dxf>
    <dxf>
      <alignment horizontal="center" vertical="center" textRotation="0" wrapText="0" indent="0" justifyLastLine="0" shrinkToFit="0" readingOrder="0"/>
    </dxf>
    <dxf>
      <font>
        <b/>
        <i val="0"/>
        <color theme="0"/>
      </font>
      <fill>
        <patternFill>
          <bgColor theme="8" tint="-0.24994659260841701"/>
        </patternFill>
      </fill>
      <border>
        <bottom style="thin">
          <color theme="0"/>
        </bottom>
        <vertical/>
        <horizontal/>
      </border>
    </dxf>
    <dxf>
      <font>
        <b/>
        <i val="0"/>
        <color theme="0"/>
      </font>
      <fill>
        <patternFill>
          <bgColor theme="8" tint="-0.24994659260841701"/>
        </patternFill>
      </fill>
      <border>
        <right style="thin">
          <color theme="0"/>
        </right>
        <bottom style="thin">
          <color theme="0"/>
        </bottom>
        <vertical/>
        <horizontal/>
      </border>
    </dxf>
    <dxf>
      <fill>
        <patternFill>
          <bgColor theme="8" tint="0.79998168889431442"/>
        </patternFill>
      </fill>
    </dxf>
    <dxf>
      <fill>
        <patternFill>
          <bgColor theme="8" tint="0.59996337778862885"/>
        </patternFill>
      </fill>
      <border>
        <right style="thin">
          <color theme="0"/>
        </right>
        <vertical/>
        <horizontal/>
      </border>
    </dxf>
    <dxf>
      <font>
        <color rgb="FFFF0000"/>
      </font>
      <fill>
        <patternFill>
          <bgColor rgb="FFFF0000"/>
        </patternFill>
      </fill>
    </dxf>
    <dxf>
      <font>
        <color rgb="FF00B050"/>
      </font>
      <fill>
        <patternFill>
          <bgColor rgb="FF00B050"/>
        </patternFill>
      </fill>
    </dxf>
    <dxf>
      <font>
        <b/>
        <i/>
        <color rgb="FFFFFF00"/>
      </font>
      <fill>
        <patternFill>
          <bgColor theme="1" tint="4.9989318521683403E-2"/>
        </patternFill>
      </fill>
      <border>
        <top style="thin">
          <color theme="0"/>
        </top>
        <bottom style="thin">
          <color theme="0"/>
        </bottom>
      </border>
    </dxf>
    <dxf>
      <font>
        <color rgb="FF0000FF"/>
      </font>
      <fill>
        <patternFill>
          <bgColor rgb="FF0000FF"/>
        </patternFill>
      </fill>
    </dxf>
    <dxf>
      <alignment horizontal="left" vertical="center" textRotation="0" wrapText="0" relativeIndent="1" justifyLastLine="0" shrinkToFit="0" readingOrder="0"/>
    </dxf>
    <dxf>
      <alignment horizontal="center" vertical="center" textRotation="0" wrapText="0" indent="0" justifyLastLine="0" shrinkToFit="0" readingOrder="0"/>
    </dxf>
    <dxf>
      <alignment horizontal="general" vertical="center" textRotation="0" wrapText="0" indent="0" justifyLastLine="0" shrinkToFit="0" readingOrder="0"/>
    </dxf>
    <dxf>
      <border>
        <bottom style="thin">
          <color rgb="FFFFFFFF"/>
        </bottom>
      </border>
    </dxf>
    <dxf>
      <alignment horizontal="center" vertical="center" textRotation="0" wrapText="0" indent="0" justifyLastLine="0" shrinkToFit="0" readingOrder="0"/>
    </dxf>
    <dxf>
      <fill>
        <patternFill>
          <bgColor theme="9" tint="0.59996337778862885"/>
        </patternFill>
      </fill>
    </dxf>
    <dxf>
      <font>
        <b/>
        <i val="0"/>
        <color theme="0"/>
      </font>
      <fill>
        <patternFill>
          <bgColor theme="5"/>
        </patternFill>
      </fill>
      <border>
        <bottom style="thin">
          <color theme="0"/>
        </bottom>
        <vertical/>
        <horizontal/>
      </border>
    </dxf>
    <dxf>
      <font>
        <b/>
        <i val="0"/>
        <color theme="0"/>
      </font>
      <fill>
        <patternFill>
          <bgColor theme="5"/>
        </patternFill>
      </fill>
      <border>
        <right style="thin">
          <color theme="0"/>
        </right>
        <bottom style="thin">
          <color theme="0"/>
        </bottom>
        <vertical/>
        <horizontal/>
      </border>
    </dxf>
    <dxf>
      <fill>
        <patternFill>
          <bgColor theme="9" tint="0.59996337778862885"/>
        </patternFill>
      </fill>
    </dxf>
    <dxf>
      <fill>
        <patternFill>
          <bgColor theme="9" tint="0.79998168889431442"/>
        </patternFill>
      </fill>
      <border>
        <right style="thin">
          <color theme="0"/>
        </right>
        <vertical/>
        <horizontal/>
      </border>
    </dxf>
    <dxf>
      <font>
        <color rgb="FF00B050"/>
      </font>
      <fill>
        <patternFill>
          <bgColor rgb="FF00B050"/>
        </patternFill>
      </fill>
    </dxf>
    <dxf>
      <font>
        <color rgb="FFFF0000"/>
      </font>
      <fill>
        <patternFill>
          <bgColor rgb="FFFF0000"/>
        </patternFill>
      </fill>
    </dxf>
    <dxf>
      <font>
        <color rgb="FF00B050"/>
      </font>
      <fill>
        <patternFill>
          <bgColor rgb="FF00B050"/>
        </patternFill>
      </fill>
    </dxf>
    <dxf>
      <font>
        <b/>
        <i/>
        <color rgb="FFFFFF00"/>
      </font>
      <fill>
        <patternFill>
          <bgColor theme="1" tint="4.9989318521683403E-2"/>
        </patternFill>
      </fill>
      <border>
        <top style="thin">
          <color theme="0"/>
        </top>
        <bottom style="thin">
          <color theme="0"/>
        </bottom>
      </border>
    </dxf>
    <dxf>
      <font>
        <color theme="5" tint="-0.24994659260841701"/>
      </font>
      <fill>
        <patternFill>
          <bgColor theme="5" tint="-0.24994659260841701"/>
        </patternFill>
      </fill>
    </dxf>
    <dxf>
      <alignment horizontal="left" vertical="center" textRotation="0" wrapText="0" relativeIndent="1" justifyLastLine="0" shrinkToFit="0" readingOrder="0"/>
      <border diagonalUp="0" diagonalDown="0">
        <left style="thin">
          <color theme="0"/>
        </left>
        <right/>
        <top/>
        <bottom/>
        <vertical/>
        <horizontal/>
      </border>
    </dxf>
    <dxf>
      <alignment horizontal="center" vertical="center" textRotation="0" wrapText="0" indent="0" justifyLastLine="0" shrinkToFit="0" readingOrder="0"/>
    </dxf>
    <dxf>
      <alignment horizontal="general" vertical="center" textRotation="0" wrapText="0" indent="0" justifyLastLine="0" shrinkToFit="0" readingOrder="0"/>
    </dxf>
    <dxf>
      <border>
        <bottom style="thin">
          <color rgb="FFFFFFFF"/>
        </bottom>
      </border>
    </dxf>
    <dxf>
      <alignment horizontal="center" vertical="center" textRotation="0" wrapText="0" indent="0" justifyLastLine="0" shrinkToFit="0" readingOrder="0"/>
    </dxf>
    <dxf>
      <fill>
        <patternFill>
          <bgColor theme="8" tint="0.59996337778862885"/>
        </patternFill>
      </fill>
    </dxf>
    <dxf>
      <fill>
        <patternFill>
          <bgColor theme="8" tint="0.59996337778862885"/>
        </patternFill>
      </fill>
      <border>
        <left style="thin">
          <color theme="0"/>
        </left>
        <vertical/>
        <horizontal/>
      </border>
    </dxf>
    <dxf>
      <fill>
        <patternFill>
          <bgColor theme="8" tint="0.39994506668294322"/>
        </patternFill>
      </fill>
      <border>
        <right style="thin">
          <color theme="0"/>
        </right>
        <vertical/>
        <horizontal/>
      </border>
    </dxf>
    <dxf>
      <font>
        <b/>
        <i val="0"/>
        <color theme="0"/>
      </font>
      <fill>
        <patternFill>
          <bgColor theme="8" tint="-0.24994659260841701"/>
        </patternFill>
      </fill>
      <border>
        <bottom style="thin">
          <color theme="0"/>
        </bottom>
        <vertical/>
        <horizontal/>
      </border>
    </dxf>
    <dxf>
      <font>
        <b/>
        <i val="0"/>
        <color theme="0"/>
      </font>
      <fill>
        <patternFill>
          <bgColor theme="8" tint="-0.24994659260841701"/>
        </patternFill>
      </fill>
      <border>
        <right style="thin">
          <color theme="0"/>
        </right>
        <bottom style="thin">
          <color theme="0"/>
        </bottom>
        <vertical/>
        <horizontal/>
      </border>
    </dxf>
    <dxf>
      <font>
        <color rgb="FF0000FF"/>
      </font>
      <fill>
        <patternFill>
          <bgColor rgb="FF0000FF"/>
        </patternFill>
      </fill>
    </dxf>
    <dxf>
      <font>
        <color rgb="FFFF0000"/>
      </font>
      <fill>
        <patternFill>
          <bgColor rgb="FFFF0000"/>
        </patternFill>
      </fill>
    </dxf>
    <dxf>
      <font>
        <b/>
        <i/>
        <color rgb="FFFFFF00"/>
      </font>
      <fill>
        <patternFill>
          <bgColor theme="1" tint="4.9989318521683403E-2"/>
        </patternFill>
      </fill>
      <border>
        <top style="thin">
          <color theme="0"/>
        </top>
        <bottom style="thin">
          <color theme="0"/>
        </bottom>
      </border>
    </dxf>
    <dxf>
      <font>
        <color rgb="FF00B050"/>
      </font>
      <fill>
        <patternFill>
          <bgColor rgb="FF00B050"/>
        </patternFill>
      </fill>
    </dxf>
    <dxf>
      <alignment horizontal="left" vertical="center" textRotation="0" wrapText="0" relativeIndent="1" justifyLastLine="0" shrinkToFit="0" readingOrder="0"/>
      <border diagonalUp="0" diagonalDown="0">
        <left style="thin">
          <color theme="0"/>
        </left>
        <right/>
        <top/>
        <bottom/>
        <vertical/>
        <horizontal/>
      </border>
    </dxf>
    <dxf>
      <alignment horizontal="center" vertical="center" textRotation="0" wrapText="0" indent="0" justifyLastLine="0" shrinkToFit="0" readingOrder="0"/>
    </dxf>
    <dxf>
      <alignment horizontal="general" vertical="center" textRotation="0" wrapText="0" indent="0" justifyLastLine="0" shrinkToFit="0" readingOrder="0"/>
    </dxf>
    <dxf>
      <border>
        <bottom style="thin">
          <color theme="0"/>
        </bottom>
      </border>
    </dxf>
    <dxf>
      <alignment horizontal="center" vertical="center" textRotation="0" wrapText="0" indent="0" justifyLastLine="0" shrinkToFit="0" readingOrder="0"/>
    </dxf>
    <dxf>
      <fill>
        <patternFill>
          <bgColor theme="8" tint="0.59996337778862885"/>
        </patternFill>
      </fill>
      <border>
        <vertical/>
        <horizontal/>
      </border>
    </dxf>
    <dxf>
      <fill>
        <patternFill>
          <bgColor theme="8" tint="0.59996337778862885"/>
        </patternFill>
      </fill>
      <border>
        <vertical/>
        <horizontal/>
      </border>
    </dxf>
    <dxf>
      <fill>
        <patternFill>
          <bgColor theme="8" tint="0.59996337778862885"/>
        </patternFill>
      </fill>
    </dxf>
    <dxf>
      <fill>
        <patternFill>
          <bgColor theme="8" tint="0.59996337778862885"/>
        </patternFill>
      </fill>
      <border>
        <vertical/>
        <horizontal/>
      </border>
    </dxf>
    <dxf>
      <fill>
        <patternFill>
          <bgColor theme="8" tint="0.39994506668294322"/>
        </patternFill>
      </fill>
      <border>
        <right style="thin">
          <color theme="0"/>
        </right>
        <vertical/>
        <horizontal/>
      </border>
    </dxf>
    <dxf>
      <font>
        <b/>
        <i val="0"/>
        <color theme="0"/>
      </font>
      <fill>
        <patternFill>
          <bgColor theme="8" tint="-0.24994659260841701"/>
        </patternFill>
      </fill>
      <border>
        <bottom style="thin">
          <color theme="0"/>
        </bottom>
        <vertical/>
        <horizontal/>
      </border>
    </dxf>
    <dxf>
      <font>
        <b/>
        <i val="0"/>
        <color theme="0"/>
      </font>
      <fill>
        <patternFill>
          <bgColor theme="8" tint="-0.24994659260841701"/>
        </patternFill>
      </fill>
      <border>
        <right style="thin">
          <color theme="0"/>
        </right>
        <bottom style="thin">
          <color theme="0"/>
        </bottom>
        <vertical/>
        <horizontal/>
      </border>
    </dxf>
    <dxf>
      <font>
        <color rgb="FF0000FF"/>
      </font>
      <fill>
        <patternFill>
          <bgColor rgb="FF0000FF"/>
        </patternFill>
      </fill>
    </dxf>
    <dxf>
      <font>
        <color rgb="FFFF0000"/>
      </font>
      <fill>
        <patternFill>
          <bgColor rgb="FFFF0000"/>
        </patternFill>
      </fill>
    </dxf>
    <dxf>
      <font>
        <b/>
        <i/>
        <color rgb="FFFFFF00"/>
      </font>
      <fill>
        <patternFill>
          <bgColor theme="1" tint="4.9989318521683403E-2"/>
        </patternFill>
      </fill>
      <border>
        <top style="thin">
          <color theme="0"/>
        </top>
        <bottom style="thin">
          <color theme="0"/>
        </bottom>
      </border>
    </dxf>
    <dxf>
      <font>
        <color rgb="FF00B050"/>
      </font>
      <fill>
        <patternFill>
          <bgColor rgb="FF00B050"/>
        </patternFill>
      </fill>
    </dxf>
    <dxf>
      <fill>
        <patternFill>
          <bgColor theme="8" tint="0.59996337778862885"/>
        </patternFill>
      </fill>
    </dxf>
    <dxf>
      <fill>
        <patternFill>
          <bgColor theme="8" tint="0.79998168889431442"/>
        </patternFill>
      </fill>
      <border>
        <right style="thin">
          <color theme="0"/>
        </right>
        <vertical/>
        <horizontal/>
      </border>
    </dxf>
    <dxf>
      <font>
        <b/>
        <i val="0"/>
        <color theme="0"/>
      </font>
      <fill>
        <patternFill>
          <bgColor theme="8" tint="-0.24994659260841701"/>
        </patternFill>
      </fill>
      <border>
        <bottom style="thin">
          <color theme="0"/>
        </bottom>
        <vertical/>
        <horizontal/>
      </border>
    </dxf>
    <dxf>
      <font>
        <b/>
        <i val="0"/>
        <color theme="0"/>
      </font>
      <fill>
        <patternFill>
          <bgColor theme="8" tint="-0.24994659260841701"/>
        </patternFill>
      </fill>
      <border>
        <right style="thin">
          <color theme="0"/>
        </right>
        <bottom style="thin">
          <color theme="0"/>
        </bottom>
        <vertical/>
        <horizontal/>
      </border>
    </dxf>
    <dxf>
      <font>
        <b val="0"/>
        <i/>
      </font>
      <fill>
        <patternFill>
          <bgColor theme="8" tint="0.59996337778862885"/>
        </patternFill>
      </fill>
    </dxf>
    <dxf>
      <fill>
        <patternFill>
          <bgColor theme="8" tint="0.59996337778862885"/>
        </patternFill>
      </fill>
      <border>
        <left style="thin">
          <color theme="0"/>
        </left>
        <vertical/>
        <horizontal/>
      </border>
    </dxf>
    <dxf>
      <fill>
        <patternFill>
          <bgColor theme="8" tint="0.59996337778862885"/>
        </patternFill>
      </fill>
      <border>
        <right style="thin">
          <color theme="0"/>
        </right>
        <vertical/>
        <horizontal/>
      </border>
    </dxf>
    <dxf>
      <font>
        <b/>
        <i val="0"/>
        <color theme="0"/>
      </font>
      <fill>
        <patternFill>
          <bgColor theme="8" tint="-0.24994659260841701"/>
        </patternFill>
      </fill>
      <border>
        <left style="thin">
          <color theme="0"/>
        </left>
        <bottom style="thin">
          <color theme="0"/>
        </bottom>
        <vertical/>
        <horizontal/>
      </border>
    </dxf>
    <dxf>
      <font>
        <b/>
        <i val="0"/>
        <color theme="0"/>
      </font>
      <fill>
        <patternFill>
          <bgColor theme="8" tint="-0.24994659260841701"/>
        </patternFill>
      </fill>
      <border>
        <left style="thin">
          <color theme="0"/>
        </left>
        <right style="thin">
          <color theme="0"/>
        </right>
        <bottom style="thin">
          <color theme="0"/>
        </bottom>
        <vertical/>
        <horizontal/>
      </border>
    </dxf>
    <dxf>
      <font>
        <b/>
        <i val="0"/>
        <color theme="0"/>
      </font>
      <fill>
        <patternFill>
          <bgColor theme="8" tint="-0.24994659260841701"/>
        </patternFill>
      </fill>
      <border>
        <bottom style="thin">
          <color theme="0"/>
        </bottom>
        <vertical/>
        <horizontal/>
      </border>
    </dxf>
    <dxf>
      <font>
        <b/>
        <i val="0"/>
        <color theme="0"/>
      </font>
      <fill>
        <patternFill>
          <bgColor theme="8" tint="-0.24994659260841701"/>
        </patternFill>
      </fill>
      <border>
        <right style="thin">
          <color theme="0"/>
        </right>
        <bottom style="thin">
          <color theme="0"/>
        </bottom>
        <vertical/>
        <horizontal/>
      </border>
    </dxf>
    <dxf>
      <font>
        <color rgb="FF0000FF"/>
      </font>
      <fill>
        <patternFill>
          <bgColor rgb="FF0000FF"/>
        </patternFill>
      </fill>
    </dxf>
    <dxf>
      <font>
        <color rgb="FFFF0000"/>
      </font>
      <fill>
        <patternFill>
          <bgColor rgb="FFFF0000"/>
        </patternFill>
      </fill>
    </dxf>
    <dxf>
      <font>
        <b/>
        <i/>
        <color rgb="FFFFFF00"/>
      </font>
      <fill>
        <patternFill>
          <bgColor theme="1" tint="4.9989318521683403E-2"/>
        </patternFill>
      </fill>
      <border>
        <top style="thin">
          <color theme="0"/>
        </top>
        <bottom style="thin">
          <color theme="0"/>
        </bottom>
      </border>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FF0000"/>
      </font>
      <fill>
        <patternFill>
          <bgColor rgb="FFFF0000"/>
        </patternFill>
      </fill>
      <border>
        <top style="thin">
          <color theme="0"/>
        </top>
        <vertical/>
        <horizontal/>
      </border>
    </dxf>
    <dxf>
      <font>
        <color rgb="FFFF0000"/>
      </font>
      <fill>
        <patternFill>
          <bgColor rgb="FFFF0000"/>
        </patternFill>
      </fill>
      <border>
        <left style="thin">
          <color theme="0"/>
        </left>
        <top style="thin">
          <color theme="0"/>
        </top>
        <vertical/>
        <horizontal/>
      </border>
    </dxf>
    <dxf>
      <font>
        <color theme="8" tint="-0.499984740745262"/>
      </font>
      <fill>
        <patternFill>
          <bgColor theme="8" tint="-0.499984740745262"/>
        </patternFill>
      </fill>
    </dxf>
    <dxf>
      <font>
        <color theme="3" tint="0.39994506668294322"/>
      </font>
      <fill>
        <patternFill>
          <bgColor theme="3" tint="0.39994506668294322"/>
        </patternFill>
      </fill>
    </dxf>
    <dxf>
      <font>
        <color rgb="FFFF0000"/>
      </font>
      <fill>
        <patternFill>
          <bgColor rgb="FFFF0000"/>
        </patternFill>
      </fill>
    </dxf>
    <dxf>
      <font>
        <color theme="8" tint="-0.499984740745262"/>
      </font>
      <fill>
        <patternFill>
          <bgColor theme="8" tint="-0.499984740745262"/>
        </patternFill>
      </fill>
    </dxf>
    <dxf>
      <font>
        <color theme="3" tint="0.39994506668294322"/>
      </font>
      <fill>
        <patternFill>
          <bgColor theme="3" tint="0.39994506668294322"/>
        </patternFill>
      </fill>
    </dxf>
    <dxf>
      <font>
        <color rgb="FF006600"/>
      </font>
      <fill>
        <patternFill>
          <bgColor rgb="FF006600"/>
        </patternFill>
      </fill>
    </dxf>
    <dxf>
      <font>
        <color theme="3" tint="0.39994506668294322"/>
      </font>
      <fill>
        <patternFill>
          <bgColor theme="3" tint="0.39994506668294322"/>
        </patternFill>
      </fill>
    </dxf>
    <dxf>
      <font>
        <color theme="8" tint="-0.499984740745262"/>
      </font>
      <fill>
        <patternFill>
          <bgColor theme="8" tint="-0.499984740745262"/>
        </patternFill>
      </fill>
    </dxf>
    <dxf>
      <font>
        <color rgb="FF006600"/>
      </font>
      <fill>
        <patternFill>
          <bgColor rgb="FF006600"/>
        </patternFill>
      </fill>
    </dxf>
    <dxf>
      <font>
        <color theme="3" tint="0.39994506668294322"/>
      </font>
      <fill>
        <patternFill>
          <bgColor theme="3" tint="0.39994506668294322"/>
        </patternFill>
      </fill>
    </dxf>
    <dxf>
      <font>
        <color theme="8" tint="-0.499984740745262"/>
      </font>
      <fill>
        <patternFill>
          <bgColor theme="8" tint="-0.499984740745262"/>
        </patternFill>
      </fill>
    </dxf>
  </dxfs>
  <tableStyles count="0" defaultTableStyle="TableStyleMedium9" defaultPivotStyle="PivotStyleLight16"/>
  <colors>
    <mruColors>
      <color rgb="FF00B050"/>
      <color rgb="FF00CC99"/>
      <color rgb="FF00CC66"/>
      <color rgb="FF09E35C"/>
      <color rgb="FF0066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Scroll" dx="22" fmlaLink="$A$3" horiz="1" max="7" min="5" page="10" val="7"/>
</file>

<file path=xl/ctrlProps/ctrlProp10.xml><?xml version="1.0" encoding="utf-8"?>
<formControlPr xmlns="http://schemas.microsoft.com/office/spreadsheetml/2009/9/main" objectType="Scroll" dx="16" fmlaLink="$A$6" horiz="1" inc="25" max="30000" min="500" page="10" val="1250"/>
</file>

<file path=xl/ctrlProps/ctrlProp11.xml><?xml version="1.0" encoding="utf-8"?>
<formControlPr xmlns="http://schemas.microsoft.com/office/spreadsheetml/2009/9/main" objectType="Scroll" dx="16" fmlaLink="$A$4" horiz="1" max="3" min="1" page="10" val="3"/>
</file>

<file path=xl/ctrlProps/ctrlProp12.xml><?xml version="1.0" encoding="utf-8"?>
<formControlPr xmlns="http://schemas.microsoft.com/office/spreadsheetml/2009/9/main" objectType="Scroll" dx="16" fmlaLink="$A$5" horiz="1" max="5" min="1" page="10" val="3"/>
</file>

<file path=xl/ctrlProps/ctrlProp13.xml><?xml version="1.0" encoding="utf-8"?>
<formControlPr xmlns="http://schemas.microsoft.com/office/spreadsheetml/2009/9/main" objectType="Scroll" dx="16" fmlaLink="$A$6" horiz="1" inc="25" max="30000" min="500" page="10" val="1500"/>
</file>

<file path=xl/ctrlProps/ctrlProp14.xml><?xml version="1.0" encoding="utf-8"?>
<formControlPr xmlns="http://schemas.microsoft.com/office/spreadsheetml/2009/9/main" objectType="Scroll" dx="16" fmlaLink="$A$4" horiz="1" max="4" min="1" page="10" val="2"/>
</file>

<file path=xl/ctrlProps/ctrlProp15.xml><?xml version="1.0" encoding="utf-8"?>
<formControlPr xmlns="http://schemas.microsoft.com/office/spreadsheetml/2009/9/main" objectType="Scroll" dx="16" fmlaLink="$A$5" horiz="1" max="5" min="1" page="10" val="2"/>
</file>

<file path=xl/ctrlProps/ctrlProp16.xml><?xml version="1.0" encoding="utf-8"?>
<formControlPr xmlns="http://schemas.microsoft.com/office/spreadsheetml/2009/9/main" objectType="Scroll" dx="16" fmlaLink="$A$6" horiz="1" inc="25" max="30000" min="500" page="10" val="1750"/>
</file>

<file path=xl/ctrlProps/ctrlProp17.xml><?xml version="1.0" encoding="utf-8"?>
<formControlPr xmlns="http://schemas.microsoft.com/office/spreadsheetml/2009/9/main" objectType="Scroll" dx="16" fmlaLink="$A$4" horiz="1" max="4" min="1" page="10" val="2"/>
</file>

<file path=xl/ctrlProps/ctrlProp18.xml><?xml version="1.0" encoding="utf-8"?>
<formControlPr xmlns="http://schemas.microsoft.com/office/spreadsheetml/2009/9/main" objectType="Scroll" dx="16" fmlaLink="$A$5" horiz="1" max="5" min="1" page="10" val="2"/>
</file>

<file path=xl/ctrlProps/ctrlProp19.xml><?xml version="1.0" encoding="utf-8"?>
<formControlPr xmlns="http://schemas.microsoft.com/office/spreadsheetml/2009/9/main" objectType="Scroll" dx="16" fmlaLink="$A$6" horiz="1" inc="25" max="30000" min="500" page="10" val="1825"/>
</file>

<file path=xl/ctrlProps/ctrlProp2.xml><?xml version="1.0" encoding="utf-8"?>
<formControlPr xmlns="http://schemas.microsoft.com/office/spreadsheetml/2009/9/main" objectType="Scroll" dx="22" fmlaLink="$A$3" horiz="1" max="7" min="5" page="10" val="7"/>
</file>

<file path=xl/ctrlProps/ctrlProp20.xml><?xml version="1.0" encoding="utf-8"?>
<formControlPr xmlns="http://schemas.microsoft.com/office/spreadsheetml/2009/9/main" objectType="Scroll" dx="16" fmlaLink="$A$6" horiz="1" max="3" min="1" page="10" val="3"/>
</file>

<file path=xl/ctrlProps/ctrlProp21.xml><?xml version="1.0" encoding="utf-8"?>
<formControlPr xmlns="http://schemas.microsoft.com/office/spreadsheetml/2009/9/main" objectType="Scroll" dx="16" fmlaLink="$A$5" horiz="1" max="3" min="1" page="10" val="2"/>
</file>

<file path=xl/ctrlProps/ctrlProp22.xml><?xml version="1.0" encoding="utf-8"?>
<formControlPr xmlns="http://schemas.microsoft.com/office/spreadsheetml/2009/9/main" objectType="Scroll" dx="16" fmlaLink="$A$4" horiz="1" inc="5" max="100" min="25" page="10" val="25"/>
</file>

<file path=xl/ctrlProps/ctrlProp23.xml><?xml version="1.0" encoding="utf-8"?>
<formControlPr xmlns="http://schemas.microsoft.com/office/spreadsheetml/2009/9/main" objectType="Scroll" dx="16" fmlaLink="$A$6" horiz="1" max="3" min="1" page="10" val="3"/>
</file>

<file path=xl/ctrlProps/ctrlProp24.xml><?xml version="1.0" encoding="utf-8"?>
<formControlPr xmlns="http://schemas.microsoft.com/office/spreadsheetml/2009/9/main" objectType="Scroll" dx="16" fmlaLink="$A$5" horiz="1" max="3" min="1" page="10" val="2"/>
</file>

<file path=xl/ctrlProps/ctrlProp25.xml><?xml version="1.0" encoding="utf-8"?>
<formControlPr xmlns="http://schemas.microsoft.com/office/spreadsheetml/2009/9/main" objectType="Scroll" dx="16" fmlaLink="$A$4" horiz="1" inc="25" max="30000" min="500" page="10" val="1500"/>
</file>

<file path=xl/ctrlProps/ctrlProp26.xml><?xml version="1.0" encoding="utf-8"?>
<formControlPr xmlns="http://schemas.microsoft.com/office/spreadsheetml/2009/9/main" objectType="Scroll" dx="16" fmlaLink="$A$6" horiz="1" max="3" min="1" page="10"/>
</file>

<file path=xl/ctrlProps/ctrlProp27.xml><?xml version="1.0" encoding="utf-8"?>
<formControlPr xmlns="http://schemas.microsoft.com/office/spreadsheetml/2009/9/main" objectType="Scroll" dx="16" fmlaLink="$A$5" horiz="1" max="3" min="1" page="10" val="2"/>
</file>

<file path=xl/ctrlProps/ctrlProp28.xml><?xml version="1.0" encoding="utf-8"?>
<formControlPr xmlns="http://schemas.microsoft.com/office/spreadsheetml/2009/9/main" objectType="Scroll" dx="16" fmlaLink="$A$4" horiz="1" inc="25" max="30000" min="500" page="10" val="1500"/>
</file>

<file path=xl/ctrlProps/ctrlProp29.xml><?xml version="1.0" encoding="utf-8"?>
<formControlPr xmlns="http://schemas.microsoft.com/office/spreadsheetml/2009/9/main" objectType="Scroll" dx="16" fmlaLink="$A$7" horiz="1" max="4" min="1" page="10"/>
</file>

<file path=xl/ctrlProps/ctrlProp3.xml><?xml version="1.0" encoding="utf-8"?>
<formControlPr xmlns="http://schemas.microsoft.com/office/spreadsheetml/2009/9/main" objectType="Scroll" dx="22" fmlaLink="$A$4" horiz="1" max="6" min="3" page="10" val="4"/>
</file>

<file path=xl/ctrlProps/ctrlProp30.xml><?xml version="1.0" encoding="utf-8"?>
<formControlPr xmlns="http://schemas.microsoft.com/office/spreadsheetml/2009/9/main" objectType="Scroll" dx="16" fmlaLink="$A$5" horiz="1" max="4" min="1" page="10" val="2"/>
</file>

<file path=xl/ctrlProps/ctrlProp31.xml><?xml version="1.0" encoding="utf-8"?>
<formControlPr xmlns="http://schemas.microsoft.com/office/spreadsheetml/2009/9/main" objectType="Scroll" dx="16" fmlaLink="$A$4" horiz="1" inc="25" max="30000" min="500" page="10" val="1500"/>
</file>

<file path=xl/ctrlProps/ctrlProp32.xml><?xml version="1.0" encoding="utf-8"?>
<formControlPr xmlns="http://schemas.microsoft.com/office/spreadsheetml/2009/9/main" objectType="Scroll" dx="16" fmlaLink="$A$8" horiz="1" max="4" min="1" page="10" val="2"/>
</file>

<file path=xl/ctrlProps/ctrlProp33.xml><?xml version="1.0" encoding="utf-8"?>
<formControlPr xmlns="http://schemas.microsoft.com/office/spreadsheetml/2009/9/main" objectType="Scroll" dx="16" fmlaLink="$A$8" horiz="1" max="4" min="1" page="10" val="2"/>
</file>

<file path=xl/ctrlProps/ctrlProp34.xml><?xml version="1.0" encoding="utf-8"?>
<formControlPr xmlns="http://schemas.microsoft.com/office/spreadsheetml/2009/9/main" objectType="Scroll" dx="16" fmlaLink="$A$8" horiz="1" max="4" min="1" page="10"/>
</file>

<file path=xl/ctrlProps/ctrlProp35.xml><?xml version="1.0" encoding="utf-8"?>
<formControlPr xmlns="http://schemas.microsoft.com/office/spreadsheetml/2009/9/main" objectType="Scroll" dx="16" fmlaLink="$A$6" horiz="1" max="4" min="1" page="10" val="2"/>
</file>

<file path=xl/ctrlProps/ctrlProp36.xml><?xml version="1.0" encoding="utf-8"?>
<formControlPr xmlns="http://schemas.microsoft.com/office/spreadsheetml/2009/9/main" objectType="Scroll" dx="16" fmlaLink="$A$4" horiz="1" inc="25" max="30000" min="500" page="10" val="1500"/>
</file>

<file path=xl/ctrlProps/ctrlProp37.xml><?xml version="1.0" encoding="utf-8"?>
<formControlPr xmlns="http://schemas.microsoft.com/office/spreadsheetml/2009/9/main" objectType="Scroll" dx="16" fmlaLink="$A$9" horiz="1" max="4" min="1" page="10" val="4"/>
</file>

<file path=xl/ctrlProps/ctrlProp38.xml><?xml version="1.0" encoding="utf-8"?>
<formControlPr xmlns="http://schemas.microsoft.com/office/spreadsheetml/2009/9/main" objectType="Scroll" dx="16" fmlaLink="$A$9" horiz="1" max="4" min="1" page="10" val="4"/>
</file>

<file path=xl/ctrlProps/ctrlProp39.xml><?xml version="1.0" encoding="utf-8"?>
<formControlPr xmlns="http://schemas.microsoft.com/office/spreadsheetml/2009/9/main" objectType="Scroll" dx="16" fmlaLink="$A$5" horiz="1" inc="25" max="30000" min="500" page="10" val="2000"/>
</file>

<file path=xl/ctrlProps/ctrlProp4.xml><?xml version="1.0" encoding="utf-8"?>
<formControlPr xmlns="http://schemas.microsoft.com/office/spreadsheetml/2009/9/main" objectType="Scroll" dx="22" fmlaLink="$A$3" horiz="1" max="6" min="3" page="10" val="6"/>
</file>

<file path=xl/ctrlProps/ctrlProp5.xml><?xml version="1.0" encoding="utf-8"?>
<formControlPr xmlns="http://schemas.microsoft.com/office/spreadsheetml/2009/9/main" objectType="Scroll" dx="22" fmlaLink="$A$4" horiz="1" max="7" min="4" page="10" val="7"/>
</file>

<file path=xl/ctrlProps/ctrlProp6.xml><?xml version="1.0" encoding="utf-8"?>
<formControlPr xmlns="http://schemas.microsoft.com/office/spreadsheetml/2009/9/main" objectType="Scroll" dx="22" fmlaLink="$A$3" horiz="1" max="7" min="5" page="10" val="7"/>
</file>

<file path=xl/ctrlProps/ctrlProp7.xml><?xml version="1.0" encoding="utf-8"?>
<formControlPr xmlns="http://schemas.microsoft.com/office/spreadsheetml/2009/9/main" objectType="Scroll" dx="22" fmlaLink="$A$10" horiz="1" max="6" min="1" page="10"/>
</file>

<file path=xl/ctrlProps/ctrlProp8.xml><?xml version="1.0" encoding="utf-8"?>
<formControlPr xmlns="http://schemas.microsoft.com/office/spreadsheetml/2009/9/main" objectType="Scroll" dx="16" fmlaLink="$A$4" horiz="1" max="4" min="1" page="10" val="2"/>
</file>

<file path=xl/ctrlProps/ctrlProp9.xml><?xml version="1.0" encoding="utf-8"?>
<formControlPr xmlns="http://schemas.microsoft.com/office/spreadsheetml/2009/9/main" objectType="Scroll" dx="16" fmlaLink="$A$5" horiz="1" max="5" min="1" page="10" val="3"/>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257175</xdr:colOff>
          <xdr:row>2</xdr:row>
          <xdr:rowOff>28575</xdr:rowOff>
        </xdr:from>
        <xdr:to>
          <xdr:col>2</xdr:col>
          <xdr:colOff>742950</xdr:colOff>
          <xdr:row>2</xdr:row>
          <xdr:rowOff>190500</xdr:rowOff>
        </xdr:to>
        <xdr:sp macro="" textlink="">
          <xdr:nvSpPr>
            <xdr:cNvPr id="15361" name="Scroll Bar 1" hidden="1">
              <a:extLst>
                <a:ext uri="{63B3BB69-23CF-44E3-9099-C40C66FF867C}">
                  <a14:compatExt spid="_x0000_s15361"/>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1057275</xdr:colOff>
          <xdr:row>5</xdr:row>
          <xdr:rowOff>19050</xdr:rowOff>
        </xdr:from>
        <xdr:to>
          <xdr:col>2</xdr:col>
          <xdr:colOff>1543050</xdr:colOff>
          <xdr:row>5</xdr:row>
          <xdr:rowOff>180975</xdr:rowOff>
        </xdr:to>
        <xdr:sp macro="" textlink="">
          <xdr:nvSpPr>
            <xdr:cNvPr id="5121" name="Scroll Bar 1" hidden="1">
              <a:extLst>
                <a:ext uri="{63B3BB69-23CF-44E3-9099-C40C66FF867C}">
                  <a14:compatExt spid="_x0000_s512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4</xdr:row>
          <xdr:rowOff>19050</xdr:rowOff>
        </xdr:from>
        <xdr:to>
          <xdr:col>2</xdr:col>
          <xdr:colOff>1543050</xdr:colOff>
          <xdr:row>4</xdr:row>
          <xdr:rowOff>180975</xdr:rowOff>
        </xdr:to>
        <xdr:sp macro="" textlink="">
          <xdr:nvSpPr>
            <xdr:cNvPr id="5122" name="Scroll Bar 2" hidden="1">
              <a:extLst>
                <a:ext uri="{63B3BB69-23CF-44E3-9099-C40C66FF867C}">
                  <a14:compatExt spid="_x0000_s512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3</xdr:row>
          <xdr:rowOff>19050</xdr:rowOff>
        </xdr:from>
        <xdr:to>
          <xdr:col>2</xdr:col>
          <xdr:colOff>1543050</xdr:colOff>
          <xdr:row>3</xdr:row>
          <xdr:rowOff>180975</xdr:rowOff>
        </xdr:to>
        <xdr:sp macro="" textlink="">
          <xdr:nvSpPr>
            <xdr:cNvPr id="5123" name="Scroll Bar 3" hidden="1">
              <a:extLst>
                <a:ext uri="{63B3BB69-23CF-44E3-9099-C40C66FF867C}">
                  <a14:compatExt spid="_x0000_s5123"/>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1057275</xdr:colOff>
          <xdr:row>5</xdr:row>
          <xdr:rowOff>9525</xdr:rowOff>
        </xdr:from>
        <xdr:to>
          <xdr:col>2</xdr:col>
          <xdr:colOff>1543050</xdr:colOff>
          <xdr:row>5</xdr:row>
          <xdr:rowOff>171450</xdr:rowOff>
        </xdr:to>
        <xdr:sp macro="" textlink="">
          <xdr:nvSpPr>
            <xdr:cNvPr id="30721" name="Scroll Bar 1" hidden="1">
              <a:extLst>
                <a:ext uri="{63B3BB69-23CF-44E3-9099-C40C66FF867C}">
                  <a14:compatExt spid="_x0000_s3072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4</xdr:row>
          <xdr:rowOff>19050</xdr:rowOff>
        </xdr:from>
        <xdr:to>
          <xdr:col>2</xdr:col>
          <xdr:colOff>1543050</xdr:colOff>
          <xdr:row>4</xdr:row>
          <xdr:rowOff>180975</xdr:rowOff>
        </xdr:to>
        <xdr:sp macro="" textlink="">
          <xdr:nvSpPr>
            <xdr:cNvPr id="30722" name="Scroll Bar 2" hidden="1">
              <a:extLst>
                <a:ext uri="{63B3BB69-23CF-44E3-9099-C40C66FF867C}">
                  <a14:compatExt spid="_x0000_s3072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3</xdr:row>
          <xdr:rowOff>28575</xdr:rowOff>
        </xdr:from>
        <xdr:to>
          <xdr:col>2</xdr:col>
          <xdr:colOff>1543050</xdr:colOff>
          <xdr:row>3</xdr:row>
          <xdr:rowOff>190500</xdr:rowOff>
        </xdr:to>
        <xdr:sp macro="" textlink="">
          <xdr:nvSpPr>
            <xdr:cNvPr id="30723" name="Scroll Bar 3" hidden="1">
              <a:extLst>
                <a:ext uri="{63B3BB69-23CF-44E3-9099-C40C66FF867C}">
                  <a14:compatExt spid="_x0000_s30723"/>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1057275</xdr:colOff>
          <xdr:row>5</xdr:row>
          <xdr:rowOff>19050</xdr:rowOff>
        </xdr:from>
        <xdr:to>
          <xdr:col>2</xdr:col>
          <xdr:colOff>1543050</xdr:colOff>
          <xdr:row>5</xdr:row>
          <xdr:rowOff>180975</xdr:rowOff>
        </xdr:to>
        <xdr:sp macro="" textlink="">
          <xdr:nvSpPr>
            <xdr:cNvPr id="31745" name="Scroll Bar 1" hidden="1">
              <a:extLst>
                <a:ext uri="{63B3BB69-23CF-44E3-9099-C40C66FF867C}">
                  <a14:compatExt spid="_x0000_s3174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4</xdr:row>
          <xdr:rowOff>19050</xdr:rowOff>
        </xdr:from>
        <xdr:to>
          <xdr:col>2</xdr:col>
          <xdr:colOff>1543050</xdr:colOff>
          <xdr:row>4</xdr:row>
          <xdr:rowOff>180975</xdr:rowOff>
        </xdr:to>
        <xdr:sp macro="" textlink="">
          <xdr:nvSpPr>
            <xdr:cNvPr id="31746" name="Scroll Bar 2" hidden="1">
              <a:extLst>
                <a:ext uri="{63B3BB69-23CF-44E3-9099-C40C66FF867C}">
                  <a14:compatExt spid="_x0000_s31746"/>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3</xdr:row>
          <xdr:rowOff>19050</xdr:rowOff>
        </xdr:from>
        <xdr:to>
          <xdr:col>2</xdr:col>
          <xdr:colOff>1543050</xdr:colOff>
          <xdr:row>3</xdr:row>
          <xdr:rowOff>180975</xdr:rowOff>
        </xdr:to>
        <xdr:sp macro="" textlink="">
          <xdr:nvSpPr>
            <xdr:cNvPr id="31747" name="Scroll Bar 3" hidden="1">
              <a:extLst>
                <a:ext uri="{63B3BB69-23CF-44E3-9099-C40C66FF867C}">
                  <a14:compatExt spid="_x0000_s31747"/>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1057275</xdr:colOff>
          <xdr:row>6</xdr:row>
          <xdr:rowOff>19050</xdr:rowOff>
        </xdr:from>
        <xdr:to>
          <xdr:col>2</xdr:col>
          <xdr:colOff>1543050</xdr:colOff>
          <xdr:row>6</xdr:row>
          <xdr:rowOff>180975</xdr:rowOff>
        </xdr:to>
        <xdr:sp macro="" textlink="">
          <xdr:nvSpPr>
            <xdr:cNvPr id="55297" name="Scroll Bar 1" hidden="1">
              <a:extLst>
                <a:ext uri="{63B3BB69-23CF-44E3-9099-C40C66FF867C}">
                  <a14:compatExt spid="_x0000_s5529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4</xdr:row>
          <xdr:rowOff>19050</xdr:rowOff>
        </xdr:from>
        <xdr:to>
          <xdr:col>2</xdr:col>
          <xdr:colOff>1543050</xdr:colOff>
          <xdr:row>4</xdr:row>
          <xdr:rowOff>180975</xdr:rowOff>
        </xdr:to>
        <xdr:sp macro="" textlink="">
          <xdr:nvSpPr>
            <xdr:cNvPr id="55298" name="Scroll Bar 2" hidden="1">
              <a:extLst>
                <a:ext uri="{63B3BB69-23CF-44E3-9099-C40C66FF867C}">
                  <a14:compatExt spid="_x0000_s5529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3</xdr:row>
          <xdr:rowOff>19050</xdr:rowOff>
        </xdr:from>
        <xdr:to>
          <xdr:col>2</xdr:col>
          <xdr:colOff>1543050</xdr:colOff>
          <xdr:row>3</xdr:row>
          <xdr:rowOff>180975</xdr:rowOff>
        </xdr:to>
        <xdr:sp macro="" textlink="">
          <xdr:nvSpPr>
            <xdr:cNvPr id="55299" name="Scroll Bar 3" hidden="1">
              <a:extLst>
                <a:ext uri="{63B3BB69-23CF-44E3-9099-C40C66FF867C}">
                  <a14:compatExt spid="_x0000_s5529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7</xdr:row>
          <xdr:rowOff>19050</xdr:rowOff>
        </xdr:from>
        <xdr:to>
          <xdr:col>2</xdr:col>
          <xdr:colOff>1543050</xdr:colOff>
          <xdr:row>7</xdr:row>
          <xdr:rowOff>180975</xdr:rowOff>
        </xdr:to>
        <xdr:sp macro="" textlink="">
          <xdr:nvSpPr>
            <xdr:cNvPr id="55300" name="Scroll Bar 4" hidden="1">
              <a:extLst>
                <a:ext uri="{63B3BB69-23CF-44E3-9099-C40C66FF867C}">
                  <a14:compatExt spid="_x0000_s553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5</xdr:row>
          <xdr:rowOff>19050</xdr:rowOff>
        </xdr:from>
        <xdr:to>
          <xdr:col>2</xdr:col>
          <xdr:colOff>1543050</xdr:colOff>
          <xdr:row>5</xdr:row>
          <xdr:rowOff>180975</xdr:rowOff>
        </xdr:to>
        <xdr:sp macro="" textlink="">
          <xdr:nvSpPr>
            <xdr:cNvPr id="55301" name="Scroll Bar 5" hidden="1">
              <a:extLst>
                <a:ext uri="{63B3BB69-23CF-44E3-9099-C40C66FF867C}">
                  <a14:compatExt spid="_x0000_s55301"/>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1057275</xdr:colOff>
          <xdr:row>7</xdr:row>
          <xdr:rowOff>19050</xdr:rowOff>
        </xdr:from>
        <xdr:to>
          <xdr:col>2</xdr:col>
          <xdr:colOff>1543050</xdr:colOff>
          <xdr:row>7</xdr:row>
          <xdr:rowOff>180975</xdr:rowOff>
        </xdr:to>
        <xdr:sp macro="" textlink="">
          <xdr:nvSpPr>
            <xdr:cNvPr id="9217" name="Scroll Bar 1" hidden="1">
              <a:extLst>
                <a:ext uri="{63B3BB69-23CF-44E3-9099-C40C66FF867C}">
                  <a14:compatExt spid="_x0000_s921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5</xdr:row>
          <xdr:rowOff>19050</xdr:rowOff>
        </xdr:from>
        <xdr:to>
          <xdr:col>2</xdr:col>
          <xdr:colOff>1543050</xdr:colOff>
          <xdr:row>5</xdr:row>
          <xdr:rowOff>180975</xdr:rowOff>
        </xdr:to>
        <xdr:sp macro="" textlink="">
          <xdr:nvSpPr>
            <xdr:cNvPr id="9218" name="Scroll Bar 2" hidden="1">
              <a:extLst>
                <a:ext uri="{63B3BB69-23CF-44E3-9099-C40C66FF867C}">
                  <a14:compatExt spid="_x0000_s921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3</xdr:row>
          <xdr:rowOff>19050</xdr:rowOff>
        </xdr:from>
        <xdr:to>
          <xdr:col>2</xdr:col>
          <xdr:colOff>1543050</xdr:colOff>
          <xdr:row>3</xdr:row>
          <xdr:rowOff>180975</xdr:rowOff>
        </xdr:to>
        <xdr:sp macro="" textlink="">
          <xdr:nvSpPr>
            <xdr:cNvPr id="9219" name="Scroll Bar 3" hidden="1">
              <a:extLst>
                <a:ext uri="{63B3BB69-23CF-44E3-9099-C40C66FF867C}">
                  <a14:compatExt spid="_x0000_s921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8</xdr:row>
          <xdr:rowOff>19050</xdr:rowOff>
        </xdr:from>
        <xdr:to>
          <xdr:col>2</xdr:col>
          <xdr:colOff>1543050</xdr:colOff>
          <xdr:row>8</xdr:row>
          <xdr:rowOff>180975</xdr:rowOff>
        </xdr:to>
        <xdr:sp macro="" textlink="">
          <xdr:nvSpPr>
            <xdr:cNvPr id="9220" name="Scroll Bar 4" hidden="1">
              <a:extLst>
                <a:ext uri="{63B3BB69-23CF-44E3-9099-C40C66FF867C}">
                  <a14:compatExt spid="_x0000_s922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6</xdr:row>
          <xdr:rowOff>19050</xdr:rowOff>
        </xdr:from>
        <xdr:to>
          <xdr:col>2</xdr:col>
          <xdr:colOff>1543050</xdr:colOff>
          <xdr:row>6</xdr:row>
          <xdr:rowOff>180975</xdr:rowOff>
        </xdr:to>
        <xdr:sp macro="" textlink="">
          <xdr:nvSpPr>
            <xdr:cNvPr id="9221" name="Scroll Bar 5" hidden="1">
              <a:extLst>
                <a:ext uri="{63B3BB69-23CF-44E3-9099-C40C66FF867C}">
                  <a14:compatExt spid="_x0000_s922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4</xdr:row>
          <xdr:rowOff>19050</xdr:rowOff>
        </xdr:from>
        <xdr:to>
          <xdr:col>2</xdr:col>
          <xdr:colOff>1543050</xdr:colOff>
          <xdr:row>4</xdr:row>
          <xdr:rowOff>180975</xdr:rowOff>
        </xdr:to>
        <xdr:sp macro="" textlink="">
          <xdr:nvSpPr>
            <xdr:cNvPr id="9222" name="Scroll Bar 6" hidden="1">
              <a:extLst>
                <a:ext uri="{63B3BB69-23CF-44E3-9099-C40C66FF867C}">
                  <a14:compatExt spid="_x0000_s9222"/>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257175</xdr:colOff>
          <xdr:row>2</xdr:row>
          <xdr:rowOff>28575</xdr:rowOff>
        </xdr:from>
        <xdr:to>
          <xdr:col>2</xdr:col>
          <xdr:colOff>742950</xdr:colOff>
          <xdr:row>2</xdr:row>
          <xdr:rowOff>190500</xdr:rowOff>
        </xdr:to>
        <xdr:sp macro="" textlink="">
          <xdr:nvSpPr>
            <xdr:cNvPr id="11265" name="Scroll Bar 1" hidden="1">
              <a:extLst>
                <a:ext uri="{63B3BB69-23CF-44E3-9099-C40C66FF867C}">
                  <a14:compatExt spid="_x0000_s1126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3</xdr:row>
          <xdr:rowOff>19050</xdr:rowOff>
        </xdr:from>
        <xdr:to>
          <xdr:col>2</xdr:col>
          <xdr:colOff>742950</xdr:colOff>
          <xdr:row>3</xdr:row>
          <xdr:rowOff>180975</xdr:rowOff>
        </xdr:to>
        <xdr:sp macro="" textlink="">
          <xdr:nvSpPr>
            <xdr:cNvPr id="11266" name="Scroll Bar 2" hidden="1">
              <a:extLst>
                <a:ext uri="{63B3BB69-23CF-44E3-9099-C40C66FF867C}">
                  <a14:compatExt spid="_x0000_s11266"/>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228600</xdr:colOff>
          <xdr:row>2</xdr:row>
          <xdr:rowOff>28575</xdr:rowOff>
        </xdr:from>
        <xdr:to>
          <xdr:col>2</xdr:col>
          <xdr:colOff>714375</xdr:colOff>
          <xdr:row>2</xdr:row>
          <xdr:rowOff>190500</xdr:rowOff>
        </xdr:to>
        <xdr:sp macro="" textlink="">
          <xdr:nvSpPr>
            <xdr:cNvPr id="12289" name="Scroll Bar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xdr:row>
          <xdr:rowOff>19050</xdr:rowOff>
        </xdr:from>
        <xdr:to>
          <xdr:col>2</xdr:col>
          <xdr:colOff>714375</xdr:colOff>
          <xdr:row>3</xdr:row>
          <xdr:rowOff>180975</xdr:rowOff>
        </xdr:to>
        <xdr:sp macro="" textlink="">
          <xdr:nvSpPr>
            <xdr:cNvPr id="12290" name="Scroll Bar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228600</xdr:colOff>
          <xdr:row>2</xdr:row>
          <xdr:rowOff>28575</xdr:rowOff>
        </xdr:from>
        <xdr:to>
          <xdr:col>2</xdr:col>
          <xdr:colOff>714375</xdr:colOff>
          <xdr:row>2</xdr:row>
          <xdr:rowOff>190500</xdr:rowOff>
        </xdr:to>
        <xdr:sp macro="" textlink="">
          <xdr:nvSpPr>
            <xdr:cNvPr id="43009" name="Scroll Bar 1" hidden="1">
              <a:extLst>
                <a:ext uri="{63B3BB69-23CF-44E3-9099-C40C66FF867C}">
                  <a14:compatExt spid="_x0000_s43009"/>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171450</xdr:colOff>
      <xdr:row>3</xdr:row>
      <xdr:rowOff>57150</xdr:rowOff>
    </xdr:from>
    <xdr:to>
      <xdr:col>2</xdr:col>
      <xdr:colOff>114300</xdr:colOff>
      <xdr:row>5</xdr:row>
      <xdr:rowOff>57150</xdr:rowOff>
    </xdr:to>
    <xdr:sp macro="" textlink="">
      <xdr:nvSpPr>
        <xdr:cNvPr id="2" name="Oval 1"/>
        <xdr:cNvSpPr/>
      </xdr:nvSpPr>
      <xdr:spPr>
        <a:xfrm>
          <a:off x="561975" y="733425"/>
          <a:ext cx="371475" cy="381000"/>
        </a:xfrm>
        <a:prstGeom prst="ellipse">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lang="id-ID" sz="1400" b="1"/>
            <a:t>A</a:t>
          </a:r>
        </a:p>
      </xdr:txBody>
    </xdr:sp>
    <xdr:clientData/>
  </xdr:twoCellAnchor>
  <xdr:twoCellAnchor>
    <xdr:from>
      <xdr:col>3</xdr:col>
      <xdr:colOff>323850</xdr:colOff>
      <xdr:row>3</xdr:row>
      <xdr:rowOff>66675</xdr:rowOff>
    </xdr:from>
    <xdr:to>
      <xdr:col>3</xdr:col>
      <xdr:colOff>714375</xdr:colOff>
      <xdr:row>5</xdr:row>
      <xdr:rowOff>66675</xdr:rowOff>
    </xdr:to>
    <xdr:sp macro="" textlink="">
      <xdr:nvSpPr>
        <xdr:cNvPr id="4" name="Oval 3"/>
        <xdr:cNvSpPr/>
      </xdr:nvSpPr>
      <xdr:spPr>
        <a:xfrm>
          <a:off x="2143125" y="742950"/>
          <a:ext cx="390525" cy="381000"/>
        </a:xfrm>
        <a:prstGeom prst="ellipse">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ctr"/>
        <a:lstStyle/>
        <a:p>
          <a:pPr algn="ctr"/>
          <a:r>
            <a:rPr lang="id-ID" sz="1400" b="1"/>
            <a:t>C</a:t>
          </a:r>
        </a:p>
      </xdr:txBody>
    </xdr:sp>
    <xdr:clientData/>
  </xdr:twoCellAnchor>
  <xdr:twoCellAnchor>
    <xdr:from>
      <xdr:col>2</xdr:col>
      <xdr:colOff>533400</xdr:colOff>
      <xdr:row>5</xdr:row>
      <xdr:rowOff>123825</xdr:rowOff>
    </xdr:from>
    <xdr:to>
      <xdr:col>2</xdr:col>
      <xdr:colOff>895350</xdr:colOff>
      <xdr:row>7</xdr:row>
      <xdr:rowOff>123825</xdr:rowOff>
    </xdr:to>
    <xdr:sp macro="" textlink="">
      <xdr:nvSpPr>
        <xdr:cNvPr id="5" name="Oval 4"/>
        <xdr:cNvSpPr/>
      </xdr:nvSpPr>
      <xdr:spPr>
        <a:xfrm>
          <a:off x="1352550" y="1181100"/>
          <a:ext cx="361950" cy="381000"/>
        </a:xfrm>
        <a:prstGeom prst="ellipse">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r>
            <a:rPr lang="id-ID" sz="1400" b="1"/>
            <a:t>B</a:t>
          </a:r>
        </a:p>
      </xdr:txBody>
    </xdr:sp>
    <xdr:clientData/>
  </xdr:twoCellAnchor>
  <mc:AlternateContent xmlns:mc="http://schemas.openxmlformats.org/markup-compatibility/2006">
    <mc:Choice xmlns:a14="http://schemas.microsoft.com/office/drawing/2010/main" Requires="a14">
      <xdr:twoCellAnchor editAs="oneCell">
        <xdr:from>
          <xdr:col>2</xdr:col>
          <xdr:colOff>419100</xdr:colOff>
          <xdr:row>9</xdr:row>
          <xdr:rowOff>28575</xdr:rowOff>
        </xdr:from>
        <xdr:to>
          <xdr:col>2</xdr:col>
          <xdr:colOff>904875</xdr:colOff>
          <xdr:row>9</xdr:row>
          <xdr:rowOff>190500</xdr:rowOff>
        </xdr:to>
        <xdr:sp macro="" textlink="">
          <xdr:nvSpPr>
            <xdr:cNvPr id="14337" name="Scroll Bar 1" hidden="1">
              <a:extLst>
                <a:ext uri="{63B3BB69-23CF-44E3-9099-C40C66FF867C}">
                  <a14:compatExt spid="_x0000_s14337"/>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800100</xdr:colOff>
          <xdr:row>3</xdr:row>
          <xdr:rowOff>28575</xdr:rowOff>
        </xdr:from>
        <xdr:to>
          <xdr:col>3</xdr:col>
          <xdr:colOff>1285875</xdr:colOff>
          <xdr:row>3</xdr:row>
          <xdr:rowOff>190500</xdr:rowOff>
        </xdr:to>
        <xdr:sp macro="" textlink="">
          <xdr:nvSpPr>
            <xdr:cNvPr id="1025" name="Scroll Bar 1" hidden="1">
              <a:extLst>
                <a:ext uri="{63B3BB69-23CF-44E3-9099-C40C66FF867C}">
                  <a14:compatExt spid="_x0000_s102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4</xdr:row>
          <xdr:rowOff>28575</xdr:rowOff>
        </xdr:from>
        <xdr:to>
          <xdr:col>3</xdr:col>
          <xdr:colOff>1285875</xdr:colOff>
          <xdr:row>4</xdr:row>
          <xdr:rowOff>190500</xdr:rowOff>
        </xdr:to>
        <xdr:sp macro="" textlink="">
          <xdr:nvSpPr>
            <xdr:cNvPr id="1026" name="Scroll Bar 2" hidden="1">
              <a:extLst>
                <a:ext uri="{63B3BB69-23CF-44E3-9099-C40C66FF867C}">
                  <a14:compatExt spid="_x0000_s1026"/>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5</xdr:row>
          <xdr:rowOff>19050</xdr:rowOff>
        </xdr:from>
        <xdr:to>
          <xdr:col>3</xdr:col>
          <xdr:colOff>1285875</xdr:colOff>
          <xdr:row>5</xdr:row>
          <xdr:rowOff>180975</xdr:rowOff>
        </xdr:to>
        <xdr:sp macro="" textlink="">
          <xdr:nvSpPr>
            <xdr:cNvPr id="1027" name="Scroll Bar 3" hidden="1">
              <a:extLst>
                <a:ext uri="{63B3BB69-23CF-44E3-9099-C40C66FF867C}">
                  <a14:compatExt spid="_x0000_s1027"/>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857250</xdr:colOff>
          <xdr:row>3</xdr:row>
          <xdr:rowOff>28575</xdr:rowOff>
        </xdr:from>
        <xdr:to>
          <xdr:col>3</xdr:col>
          <xdr:colOff>1343025</xdr:colOff>
          <xdr:row>3</xdr:row>
          <xdr:rowOff>190500</xdr:rowOff>
        </xdr:to>
        <xdr:sp macro="" textlink="">
          <xdr:nvSpPr>
            <xdr:cNvPr id="2049" name="Scroll Bar 1" hidden="1">
              <a:extLst>
                <a:ext uri="{63B3BB69-23CF-44E3-9099-C40C66FF867C}">
                  <a14:compatExt spid="_x0000_s204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4</xdr:row>
          <xdr:rowOff>19050</xdr:rowOff>
        </xdr:from>
        <xdr:to>
          <xdr:col>3</xdr:col>
          <xdr:colOff>1343025</xdr:colOff>
          <xdr:row>4</xdr:row>
          <xdr:rowOff>180975</xdr:rowOff>
        </xdr:to>
        <xdr:sp macro="" textlink="">
          <xdr:nvSpPr>
            <xdr:cNvPr id="2050" name="Scroll Bar 2" hidden="1">
              <a:extLst>
                <a:ext uri="{63B3BB69-23CF-44E3-9099-C40C66FF867C}">
                  <a14:compatExt spid="_x0000_s205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5</xdr:row>
          <xdr:rowOff>9525</xdr:rowOff>
        </xdr:from>
        <xdr:to>
          <xdr:col>3</xdr:col>
          <xdr:colOff>1343025</xdr:colOff>
          <xdr:row>5</xdr:row>
          <xdr:rowOff>171450</xdr:rowOff>
        </xdr:to>
        <xdr:sp macro="" textlink="">
          <xdr:nvSpPr>
            <xdr:cNvPr id="2051" name="Scroll Bar 3" hidden="1">
              <a:extLst>
                <a:ext uri="{63B3BB69-23CF-44E3-9099-C40C66FF867C}">
                  <a14:compatExt spid="_x0000_s2051"/>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1057275</xdr:colOff>
          <xdr:row>3</xdr:row>
          <xdr:rowOff>19050</xdr:rowOff>
        </xdr:from>
        <xdr:to>
          <xdr:col>2</xdr:col>
          <xdr:colOff>1543050</xdr:colOff>
          <xdr:row>3</xdr:row>
          <xdr:rowOff>180975</xdr:rowOff>
        </xdr:to>
        <xdr:sp macro="" textlink="">
          <xdr:nvSpPr>
            <xdr:cNvPr id="3073" name="Scroll Bar 1" hidden="1">
              <a:extLst>
                <a:ext uri="{63B3BB69-23CF-44E3-9099-C40C66FF867C}">
                  <a14:compatExt spid="_x0000_s307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4</xdr:row>
          <xdr:rowOff>19050</xdr:rowOff>
        </xdr:from>
        <xdr:to>
          <xdr:col>2</xdr:col>
          <xdr:colOff>1543050</xdr:colOff>
          <xdr:row>4</xdr:row>
          <xdr:rowOff>180975</xdr:rowOff>
        </xdr:to>
        <xdr:sp macro="" textlink="">
          <xdr:nvSpPr>
            <xdr:cNvPr id="3074" name="Scroll Bar 2" hidden="1">
              <a:extLst>
                <a:ext uri="{63B3BB69-23CF-44E3-9099-C40C66FF867C}">
                  <a14:compatExt spid="_x0000_s307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5</xdr:row>
          <xdr:rowOff>19050</xdr:rowOff>
        </xdr:from>
        <xdr:to>
          <xdr:col>2</xdr:col>
          <xdr:colOff>1543050</xdr:colOff>
          <xdr:row>5</xdr:row>
          <xdr:rowOff>180975</xdr:rowOff>
        </xdr:to>
        <xdr:sp macro="" textlink="">
          <xdr:nvSpPr>
            <xdr:cNvPr id="3075" name="Scroll Bar 3" hidden="1">
              <a:extLst>
                <a:ext uri="{63B3BB69-23CF-44E3-9099-C40C66FF867C}">
                  <a14:compatExt spid="_x0000_s3075"/>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1057275</xdr:colOff>
          <xdr:row>3</xdr:row>
          <xdr:rowOff>19050</xdr:rowOff>
        </xdr:from>
        <xdr:to>
          <xdr:col>2</xdr:col>
          <xdr:colOff>1543050</xdr:colOff>
          <xdr:row>3</xdr:row>
          <xdr:rowOff>180975</xdr:rowOff>
        </xdr:to>
        <xdr:sp macro="" textlink="">
          <xdr:nvSpPr>
            <xdr:cNvPr id="29697" name="Scroll Bar 1" hidden="1">
              <a:extLst>
                <a:ext uri="{63B3BB69-23CF-44E3-9099-C40C66FF867C}">
                  <a14:compatExt spid="_x0000_s2969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4</xdr:row>
          <xdr:rowOff>19050</xdr:rowOff>
        </xdr:from>
        <xdr:to>
          <xdr:col>2</xdr:col>
          <xdr:colOff>1543050</xdr:colOff>
          <xdr:row>4</xdr:row>
          <xdr:rowOff>180975</xdr:rowOff>
        </xdr:to>
        <xdr:sp macro="" textlink="">
          <xdr:nvSpPr>
            <xdr:cNvPr id="29698" name="Scroll Bar 2" hidden="1">
              <a:extLst>
                <a:ext uri="{63B3BB69-23CF-44E3-9099-C40C66FF867C}">
                  <a14:compatExt spid="_x0000_s2969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1057275</xdr:colOff>
          <xdr:row>5</xdr:row>
          <xdr:rowOff>19050</xdr:rowOff>
        </xdr:from>
        <xdr:to>
          <xdr:col>2</xdr:col>
          <xdr:colOff>1543050</xdr:colOff>
          <xdr:row>5</xdr:row>
          <xdr:rowOff>180975</xdr:rowOff>
        </xdr:to>
        <xdr:sp macro="" textlink="">
          <xdr:nvSpPr>
            <xdr:cNvPr id="29699" name="Scroll Bar 3" hidden="1">
              <a:extLst>
                <a:ext uri="{63B3BB69-23CF-44E3-9099-C40C66FF867C}">
                  <a14:compatExt spid="_x0000_s29699"/>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ables/table1.xml><?xml version="1.0" encoding="utf-8"?>
<table xmlns="http://schemas.openxmlformats.org/spreadsheetml/2006/main" id="6" name="Table6" displayName="Table6" ref="H5:I8" totalsRowShown="0" headerRowDxfId="45" dataDxfId="43" headerRowBorderDxfId="44">
  <autoFilter ref="H5:I8">
    <filterColumn colId="0" hiddenButton="1"/>
    <filterColumn colId="1" hiddenButton="1"/>
  </autoFilter>
  <tableColumns count="2">
    <tableColumn id="1" name="No" dataDxfId="42"/>
    <tableColumn id="2" name="Akun" dataDxfId="41"/>
  </tableColumns>
  <tableStyleInfo name="TableStyleMedium9" showFirstColumn="0" showLastColumn="0" showRowStripes="1" showColumnStripes="0"/>
</table>
</file>

<file path=xl/tables/table2.xml><?xml version="1.0" encoding="utf-8"?>
<table xmlns="http://schemas.openxmlformats.org/spreadsheetml/2006/main" id="7" name="Table68" displayName="Table68" ref="H5:I8" totalsRowShown="0" headerRowDxfId="31" dataDxfId="29" headerRowBorderDxfId="30">
  <autoFilter ref="H5:I8">
    <filterColumn colId="0" hiddenButton="1"/>
    <filterColumn colId="1" hiddenButton="1"/>
  </autoFilter>
  <tableColumns count="2">
    <tableColumn id="1" name="No" dataDxfId="28"/>
    <tableColumn id="2" name="Akun" dataDxfId="27"/>
  </tableColumns>
  <tableStyleInfo name="TableStyleMedium9" showFirstColumn="0" showLastColumn="0" showRowStripes="1" showColumnStripes="0"/>
</table>
</file>

<file path=xl/tables/table3.xml><?xml version="1.0" encoding="utf-8"?>
<table xmlns="http://schemas.openxmlformats.org/spreadsheetml/2006/main" id="1" name="Table82" displayName="Table82" ref="H5:I9" totalsRowShown="0" headerRowDxfId="16" dataDxfId="14" headerRowBorderDxfId="15">
  <autoFilter ref="H5:I9">
    <filterColumn colId="0" hiddenButton="1"/>
    <filterColumn colId="1" hiddenButton="1"/>
  </autoFilter>
  <tableColumns count="2">
    <tableColumn id="1" name="No" dataDxfId="13"/>
    <tableColumn id="2" name="Akun" dataDxfId="12"/>
  </tableColumns>
  <tableStyleInfo name="TableStyleMedium10" showFirstColumn="0" showLastColumn="0" showRowStripes="1" showColumnStripes="0"/>
</table>
</file>

<file path=xl/tables/table4.xml><?xml version="1.0" encoding="utf-8"?>
<table xmlns="http://schemas.openxmlformats.org/spreadsheetml/2006/main" id="2" name="Table2" displayName="Table2" ref="I5:J9" totalsRowShown="0" headerRowDxfId="3" headerRowBorderDxfId="2">
  <autoFilter ref="I5:J9">
    <filterColumn colId="0" hiddenButton="1"/>
    <filterColumn colId="1" hiddenButton="1"/>
  </autoFilter>
  <tableColumns count="2">
    <tableColumn id="1" name="No" dataDxfId="1"/>
    <tableColumn id="2" name="Akun"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4.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table" Target="../tables/table1.xml"/><Relationship Id="rId2" Type="http://schemas.openxmlformats.org/officeDocument/2006/relationships/drawing" Target="../drawings/drawing11.xml"/><Relationship Id="rId1" Type="http://schemas.openxmlformats.org/officeDocument/2006/relationships/printerSettings" Target="../printerSettings/printerSettings5.bin"/><Relationship Id="rId6" Type="http://schemas.openxmlformats.org/officeDocument/2006/relationships/ctrlProp" Target="../ctrlProps/ctrlProp25.xml"/><Relationship Id="rId5" Type="http://schemas.openxmlformats.org/officeDocument/2006/relationships/ctrlProp" Target="../ctrlProps/ctrlProp24.xml"/><Relationship Id="rId4" Type="http://schemas.openxmlformats.org/officeDocument/2006/relationships/ctrlProp" Target="../ctrlProps/ctrlProp23.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table" Target="../tables/table2.xml"/><Relationship Id="rId2" Type="http://schemas.openxmlformats.org/officeDocument/2006/relationships/drawing" Target="../drawings/drawing12.xml"/><Relationship Id="rId1" Type="http://schemas.openxmlformats.org/officeDocument/2006/relationships/printerSettings" Target="../printerSettings/printerSettings6.bin"/><Relationship Id="rId6" Type="http://schemas.openxmlformats.org/officeDocument/2006/relationships/ctrlProp" Target="../ctrlProps/ctrlProp28.xml"/><Relationship Id="rId5" Type="http://schemas.openxmlformats.org/officeDocument/2006/relationships/ctrlProp" Target="../ctrlProps/ctrlProp27.xml"/><Relationship Id="rId4" Type="http://schemas.openxmlformats.org/officeDocument/2006/relationships/ctrlProp" Target="../ctrlProps/ctrlProp26.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13.vml"/><Relationship Id="rId7" Type="http://schemas.openxmlformats.org/officeDocument/2006/relationships/ctrlProp" Target="../ctrlProps/ctrlProp32.xml"/><Relationship Id="rId2" Type="http://schemas.openxmlformats.org/officeDocument/2006/relationships/drawing" Target="../drawings/drawing13.xml"/><Relationship Id="rId1" Type="http://schemas.openxmlformats.org/officeDocument/2006/relationships/printerSettings" Target="../printerSettings/printerSettings7.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table" Target="../tables/table3.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14.vml"/><Relationship Id="rId7" Type="http://schemas.openxmlformats.org/officeDocument/2006/relationships/ctrlProp" Target="../ctrlProps/ctrlProp37.xml"/><Relationship Id="rId2" Type="http://schemas.openxmlformats.org/officeDocument/2006/relationships/drawing" Target="../drawings/drawing14.xml"/><Relationship Id="rId1" Type="http://schemas.openxmlformats.org/officeDocument/2006/relationships/printerSettings" Target="../printerSettings/printerSettings8.bin"/><Relationship Id="rId6" Type="http://schemas.openxmlformats.org/officeDocument/2006/relationships/ctrlProp" Target="../ctrlProps/ctrlProp36.xml"/><Relationship Id="rId5" Type="http://schemas.openxmlformats.org/officeDocument/2006/relationships/ctrlProp" Target="../ctrlProps/ctrlProp35.xml"/><Relationship Id="rId10" Type="http://schemas.openxmlformats.org/officeDocument/2006/relationships/table" Target="../tables/table4.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2.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3.vml"/><Relationship Id="rId1" Type="http://schemas.openxmlformats.org/officeDocument/2006/relationships/drawing" Target="../drawings/drawing3.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6.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5.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8.xml"/><Relationship Id="rId2" Type="http://schemas.openxmlformats.org/officeDocument/2006/relationships/vmlDrawing" Target="../drawings/vmlDrawing6.vml"/><Relationship Id="rId1" Type="http://schemas.openxmlformats.org/officeDocument/2006/relationships/drawing" Target="../drawings/drawing6.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bin"/><Relationship Id="rId6" Type="http://schemas.openxmlformats.org/officeDocument/2006/relationships/ctrlProp" Target="../ctrlProps/ctrlProp13.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2.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3.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6"/>
  <sheetViews>
    <sheetView showGridLines="0" workbookViewId="0">
      <selection activeCell="O7" sqref="O7"/>
    </sheetView>
  </sheetViews>
  <sheetFormatPr defaultRowHeight="15" x14ac:dyDescent="0.25"/>
  <cols>
    <col min="1" max="1" width="5.85546875" style="1" customWidth="1"/>
    <col min="2" max="2" width="6" style="1" customWidth="1"/>
    <col min="3" max="3" width="12.28515625" style="1" customWidth="1"/>
    <col min="4" max="4" width="23" style="1" customWidth="1"/>
    <col min="5" max="5" width="4.42578125" style="1" customWidth="1"/>
    <col min="6" max="6" width="7.85546875" style="1" customWidth="1"/>
    <col min="7" max="7" width="10.7109375" style="1" customWidth="1"/>
    <col min="8" max="14" width="5.5703125" style="1" customWidth="1"/>
    <col min="15" max="15" width="4.42578125" style="1" customWidth="1"/>
    <col min="16" max="16" width="6.28515625" style="1" customWidth="1"/>
    <col min="17" max="17" width="11.85546875" style="1" customWidth="1"/>
    <col min="18" max="18" width="5.85546875" style="1" customWidth="1"/>
    <col min="19" max="16384" width="9.140625" style="1"/>
  </cols>
  <sheetData>
    <row r="1" spans="1:17" ht="19.5" customHeight="1" x14ac:dyDescent="0.25"/>
    <row r="2" spans="1:17" ht="18.75" x14ac:dyDescent="0.25">
      <c r="B2" s="2" t="s">
        <v>99</v>
      </c>
    </row>
    <row r="3" spans="1:17" ht="16.5" customHeight="1" x14ac:dyDescent="0.25">
      <c r="A3" s="20">
        <v>7</v>
      </c>
      <c r="B3" s="35" t="s">
        <v>42</v>
      </c>
      <c r="C3" s="36"/>
      <c r="D3" s="34" t="str">
        <f>VLOOKUP(A3,P$4:Q$10,2)</f>
        <v>Stasiun G</v>
      </c>
      <c r="F3" s="41" t="s">
        <v>54</v>
      </c>
      <c r="G3" s="41"/>
      <c r="H3" s="122" t="s">
        <v>52</v>
      </c>
      <c r="I3" s="123"/>
      <c r="J3" s="123"/>
      <c r="K3" s="123"/>
      <c r="L3" s="123"/>
      <c r="M3" s="123"/>
      <c r="N3" s="123"/>
      <c r="P3" s="49" t="s">
        <v>56</v>
      </c>
      <c r="Q3" s="50" t="s">
        <v>79</v>
      </c>
    </row>
    <row r="4" spans="1:17" ht="16.5" customHeight="1" x14ac:dyDescent="0.25">
      <c r="B4" s="37" t="s">
        <v>50</v>
      </c>
      <c r="C4" s="38"/>
      <c r="D4" s="39" t="s">
        <v>95</v>
      </c>
      <c r="H4" s="52" t="s">
        <v>35</v>
      </c>
      <c r="I4" s="29" t="s">
        <v>36</v>
      </c>
      <c r="J4" s="29" t="s">
        <v>37</v>
      </c>
      <c r="K4" s="29" t="s">
        <v>38</v>
      </c>
      <c r="L4" s="29" t="s">
        <v>39</v>
      </c>
      <c r="M4" s="29" t="s">
        <v>40</v>
      </c>
      <c r="N4" s="28" t="s">
        <v>41</v>
      </c>
      <c r="P4" s="45">
        <v>1</v>
      </c>
      <c r="Q4" s="34" t="s">
        <v>43</v>
      </c>
    </row>
    <row r="5" spans="1:17" x14ac:dyDescent="0.25">
      <c r="B5" s="124" t="s">
        <v>51</v>
      </c>
      <c r="C5" s="124"/>
      <c r="D5" s="125" t="s">
        <v>96</v>
      </c>
      <c r="E5" s="26"/>
      <c r="F5" s="31" t="s">
        <v>42</v>
      </c>
      <c r="G5" s="31"/>
      <c r="H5" s="53">
        <v>1</v>
      </c>
      <c r="I5" s="54">
        <f t="shared" ref="I5:N5" si="0">IF(H5&lt;$A3,H5+1,"")</f>
        <v>2</v>
      </c>
      <c r="J5" s="54">
        <f t="shared" si="0"/>
        <v>3</v>
      </c>
      <c r="K5" s="54">
        <f t="shared" si="0"/>
        <v>4</v>
      </c>
      <c r="L5" s="54">
        <f t="shared" si="0"/>
        <v>5</v>
      </c>
      <c r="M5" s="54">
        <f t="shared" si="0"/>
        <v>6</v>
      </c>
      <c r="N5" s="54">
        <f t="shared" si="0"/>
        <v>7</v>
      </c>
      <c r="P5" s="45">
        <v>2</v>
      </c>
      <c r="Q5" s="34" t="s">
        <v>44</v>
      </c>
    </row>
    <row r="6" spans="1:17" x14ac:dyDescent="0.25">
      <c r="B6" s="124"/>
      <c r="C6" s="124"/>
      <c r="D6" s="125"/>
      <c r="E6" s="26"/>
      <c r="F6" s="31" t="s">
        <v>94</v>
      </c>
      <c r="G6" s="31"/>
      <c r="H6" s="58"/>
      <c r="I6" s="27"/>
      <c r="J6" s="27"/>
      <c r="K6" s="27"/>
      <c r="L6" s="27"/>
      <c r="M6" s="27"/>
      <c r="N6" s="27"/>
      <c r="P6" s="45">
        <v>3</v>
      </c>
      <c r="Q6" s="34" t="s">
        <v>45</v>
      </c>
    </row>
    <row r="7" spans="1:17" x14ac:dyDescent="0.25">
      <c r="F7" s="31" t="s">
        <v>51</v>
      </c>
      <c r="G7" s="31"/>
      <c r="H7" s="53">
        <f>IF(H5="","",H5)</f>
        <v>1</v>
      </c>
      <c r="I7" s="54">
        <f t="shared" ref="I7:N7" si="1">IF(I5="","",I5)</f>
        <v>2</v>
      </c>
      <c r="J7" s="54">
        <f t="shared" si="1"/>
        <v>3</v>
      </c>
      <c r="K7" s="54">
        <f t="shared" si="1"/>
        <v>4</v>
      </c>
      <c r="L7" s="54">
        <f t="shared" si="1"/>
        <v>5</v>
      </c>
      <c r="M7" s="54">
        <f t="shared" si="1"/>
        <v>6</v>
      </c>
      <c r="N7" s="54">
        <f t="shared" si="1"/>
        <v>7</v>
      </c>
      <c r="P7" s="45">
        <v>4</v>
      </c>
      <c r="Q7" s="34" t="s">
        <v>46</v>
      </c>
    </row>
    <row r="8" spans="1:17" x14ac:dyDescent="0.25">
      <c r="P8" s="45">
        <v>5</v>
      </c>
      <c r="Q8" s="34" t="s">
        <v>47</v>
      </c>
    </row>
    <row r="9" spans="1:17" x14ac:dyDescent="0.25">
      <c r="P9" s="45">
        <v>6</v>
      </c>
      <c r="Q9" s="34" t="s">
        <v>48</v>
      </c>
    </row>
    <row r="10" spans="1:17" x14ac:dyDescent="0.25">
      <c r="B10" s="30" t="s">
        <v>80</v>
      </c>
      <c r="P10" s="45">
        <v>7</v>
      </c>
      <c r="Q10" s="34" t="s">
        <v>49</v>
      </c>
    </row>
    <row r="11" spans="1:17" x14ac:dyDescent="0.25">
      <c r="B11" s="47" t="s">
        <v>81</v>
      </c>
      <c r="C11" s="126" t="s">
        <v>80</v>
      </c>
      <c r="D11" s="127"/>
      <c r="E11" s="127"/>
      <c r="F11" s="61"/>
    </row>
    <row r="12" spans="1:17" x14ac:dyDescent="0.25">
      <c r="B12" s="45" t="s">
        <v>100</v>
      </c>
      <c r="C12" s="34" t="str">
        <f ca="1">_xlfn.FORMULATEXT(D3)</f>
        <v>=VLOOKUP(A3;P$4:Q$10;2)</v>
      </c>
      <c r="D12" s="51"/>
      <c r="E12" s="51"/>
      <c r="F12" s="15"/>
    </row>
    <row r="13" spans="1:17" x14ac:dyDescent="0.25">
      <c r="B13" s="45" t="s">
        <v>86</v>
      </c>
      <c r="C13" s="34" t="s">
        <v>83</v>
      </c>
      <c r="D13" s="51"/>
      <c r="E13" s="51"/>
      <c r="F13" s="15"/>
    </row>
    <row r="14" spans="1:17" x14ac:dyDescent="0.25">
      <c r="B14" s="45" t="s">
        <v>87</v>
      </c>
      <c r="C14" s="34" t="str">
        <f ca="1">_xlfn.FORMULATEXT(I5)&amp;", salin ke range J5:N5"</f>
        <v>=IF(H5&lt;$A3;H5+1;""), salin ke range J5:N5</v>
      </c>
      <c r="D14" s="51"/>
      <c r="E14" s="51"/>
      <c r="F14" s="15"/>
    </row>
    <row r="15" spans="1:17" x14ac:dyDescent="0.25">
      <c r="B15" s="45" t="s">
        <v>89</v>
      </c>
      <c r="C15" s="34" t="str">
        <f ca="1">_xlfn.FORMULATEXT(H7)&amp;", salin ke range I7:N7"</f>
        <v>=IF(H5="";"";H5), salin ke range I7:N7</v>
      </c>
      <c r="D15" s="51"/>
      <c r="E15" s="51"/>
      <c r="F15" s="15"/>
    </row>
    <row r="16" spans="1:17" ht="19.5" customHeight="1" x14ac:dyDescent="0.25"/>
  </sheetData>
  <mergeCells count="4">
    <mergeCell ref="H3:N3"/>
    <mergeCell ref="B5:C6"/>
    <mergeCell ref="D5:D6"/>
    <mergeCell ref="C11:E11"/>
  </mergeCells>
  <conditionalFormatting sqref="H5:N5">
    <cfRule type="notContainsBlanks" dxfId="86" priority="2">
      <formula>LEN(TRIM(H5))&gt;0</formula>
    </cfRule>
  </conditionalFormatting>
  <conditionalFormatting sqref="H6:N6">
    <cfRule type="notContainsBlanks" dxfId="85" priority="3">
      <formula>LEN(TRIM(H6))&gt;0</formula>
    </cfRule>
  </conditionalFormatting>
  <conditionalFormatting sqref="H7:N7">
    <cfRule type="notContainsBlanks" dxfId="84" priority="1">
      <formula>LEN(TRIM(H7))&gt;0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5361" r:id="rId3" name="Scroll Bar 1">
              <controlPr defaultSize="0" autoPict="0">
                <anchor moveWithCells="1">
                  <from>
                    <xdr:col>2</xdr:col>
                    <xdr:colOff>257175</xdr:colOff>
                    <xdr:row>2</xdr:row>
                    <xdr:rowOff>28575</xdr:rowOff>
                  </from>
                  <to>
                    <xdr:col>2</xdr:col>
                    <xdr:colOff>742950</xdr:colOff>
                    <xdr:row>2</xdr:row>
                    <xdr:rowOff>190500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5"/>
  <sheetViews>
    <sheetView showGridLines="0" workbookViewId="0">
      <selection activeCell="P33" sqref="P33"/>
    </sheetView>
  </sheetViews>
  <sheetFormatPr defaultRowHeight="15" x14ac:dyDescent="0.25"/>
  <cols>
    <col min="1" max="1" width="5.85546875" style="1" customWidth="1"/>
    <col min="2" max="2" width="0.7109375" style="1" customWidth="1"/>
    <col min="3" max="3" width="24.7109375" style="1" customWidth="1"/>
    <col min="4" max="4" width="12.7109375" style="1" customWidth="1"/>
    <col min="5" max="5" width="11.5703125" style="1" customWidth="1"/>
    <col min="6" max="6" width="4.140625" style="1" customWidth="1"/>
    <col min="7" max="7" width="5.28515625" style="1" customWidth="1"/>
    <col min="8" max="8" width="18.5703125" style="1" customWidth="1"/>
    <col min="9" max="12" width="13" style="1" customWidth="1"/>
    <col min="13" max="13" width="5.85546875" style="1" customWidth="1"/>
    <col min="14" max="16384" width="9.140625" style="1"/>
  </cols>
  <sheetData>
    <row r="1" spans="1:12" ht="19.5" customHeight="1" x14ac:dyDescent="0.25"/>
    <row r="2" spans="1:12" ht="18.75" x14ac:dyDescent="0.25">
      <c r="B2" s="2" t="s">
        <v>34</v>
      </c>
    </row>
    <row r="3" spans="1:12" x14ac:dyDescent="0.25">
      <c r="B3" s="21" t="s">
        <v>25</v>
      </c>
      <c r="G3" s="30" t="s">
        <v>139</v>
      </c>
    </row>
    <row r="4" spans="1:12" ht="16.5" customHeight="1" x14ac:dyDescent="0.25">
      <c r="A4" s="20">
        <v>25</v>
      </c>
      <c r="B4" s="83"/>
      <c r="C4" s="84" t="s">
        <v>4</v>
      </c>
      <c r="D4" s="144">
        <f>A4*1000000</f>
        <v>25000000</v>
      </c>
      <c r="E4" s="145"/>
      <c r="G4" s="89" t="s">
        <v>56</v>
      </c>
      <c r="H4" s="90" t="s">
        <v>106</v>
      </c>
      <c r="I4" s="89" t="s">
        <v>140</v>
      </c>
    </row>
    <row r="5" spans="1:12" ht="16.5" customHeight="1" x14ac:dyDescent="0.25">
      <c r="A5" s="20">
        <v>2</v>
      </c>
      <c r="B5" s="83"/>
      <c r="C5" s="84" t="s">
        <v>3</v>
      </c>
      <c r="D5" s="85" t="str">
        <f>VLOOKUP(A5,G5:H7,2)</f>
        <v>Bank Mandiri</v>
      </c>
      <c r="E5" s="86"/>
      <c r="G5" s="87">
        <v>1</v>
      </c>
      <c r="H5" s="91" t="s">
        <v>26</v>
      </c>
      <c r="I5" s="88">
        <v>250000000</v>
      </c>
    </row>
    <row r="6" spans="1:12" ht="16.5" customHeight="1" x14ac:dyDescent="0.25">
      <c r="A6" s="20">
        <v>3</v>
      </c>
      <c r="B6" s="83"/>
      <c r="C6" s="84" t="s">
        <v>27</v>
      </c>
      <c r="D6" s="85" t="str">
        <f>VLOOKUP(A6,G5:H7,2)</f>
        <v>Bank Niaga</v>
      </c>
      <c r="E6" s="86"/>
      <c r="G6" s="87">
        <v>2</v>
      </c>
      <c r="H6" s="91" t="s">
        <v>12</v>
      </c>
      <c r="I6" s="88">
        <v>200000000</v>
      </c>
    </row>
    <row r="7" spans="1:12" ht="16.5" customHeight="1" x14ac:dyDescent="0.25">
      <c r="B7" s="146" t="str">
        <f>IF(D5=D6,"Maaf isian salah, silakan ulangi!","")</f>
        <v/>
      </c>
      <c r="C7" s="146"/>
      <c r="D7" s="146"/>
      <c r="E7" s="146"/>
      <c r="G7" s="87">
        <v>3</v>
      </c>
      <c r="H7" s="91" t="s">
        <v>13</v>
      </c>
      <c r="I7" s="88">
        <v>175000000</v>
      </c>
    </row>
    <row r="8" spans="1:12" x14ac:dyDescent="0.25">
      <c r="B8" s="24" t="str">
        <f>IF(B7="","Jurnal yang seharusnya","")</f>
        <v>Jurnal yang seharusnya</v>
      </c>
      <c r="D8" s="15"/>
      <c r="E8" s="15"/>
    </row>
    <row r="9" spans="1:12" x14ac:dyDescent="0.25">
      <c r="B9" s="1" t="str">
        <f>IF(B7="","x","")</f>
        <v>x</v>
      </c>
      <c r="C9" s="92" t="str">
        <f>IF(D5=D6,"",D6)</f>
        <v>Bank Niaga</v>
      </c>
      <c r="D9" s="23">
        <f>IF(B8="","",D4)</f>
        <v>25000000</v>
      </c>
      <c r="E9" s="15"/>
      <c r="G9" s="22" t="str">
        <f>IF(C9="","","Penjelasan Koreksi")</f>
        <v>Penjelasan Koreksi</v>
      </c>
    </row>
    <row r="10" spans="1:12" ht="15" customHeight="1" x14ac:dyDescent="0.25">
      <c r="B10" s="15"/>
      <c r="C10" s="93" t="str">
        <f>IF(C9="","",D5)</f>
        <v>Bank Mandiri</v>
      </c>
      <c r="D10" s="15"/>
      <c r="E10" s="23">
        <f>D9</f>
        <v>25000000</v>
      </c>
      <c r="G10" s="142" t="str">
        <f>IF(C9="","","Jurnal koreksi dibuat dengan membalik posisi akun (yang tadinya di debet menjadi di kredit dan sebaliknya) pada jurnal yang salah, dengan nilai transaksi dikalikan dua yang sebelumnya Rp "&amp;TEXT(D4,"#.###")&amp;" menjadi Rp "&amp;TEXT(D4*2,"#.###"))</f>
        <v>Jurnal koreksi dibuat dengan membalik posisi akun (yang tadinya di debet menjadi di kredit dan sebaliknya) pada jurnal yang salah, dengan nilai transaksi dikalikan dua yang sebelumnya Rp 25.000.000 menjadi Rp 50.000.000</v>
      </c>
      <c r="H10" s="142"/>
      <c r="I10" s="142"/>
      <c r="J10" s="142"/>
      <c r="K10" s="142"/>
      <c r="L10" s="142"/>
    </row>
    <row r="11" spans="1:12" ht="17.25" customHeight="1" x14ac:dyDescent="0.25">
      <c r="G11" s="142"/>
      <c r="H11" s="142"/>
      <c r="I11" s="142"/>
      <c r="J11" s="142"/>
      <c r="K11" s="142"/>
      <c r="L11" s="142"/>
    </row>
    <row r="12" spans="1:12" x14ac:dyDescent="0.25">
      <c r="B12" s="22" t="str">
        <f>IF(B7="","Kesalahan Pencatatan Transaksi","")</f>
        <v>Kesalahan Pencatatan Transaksi</v>
      </c>
      <c r="G12" s="142"/>
      <c r="H12" s="142"/>
      <c r="I12" s="142"/>
      <c r="J12" s="142"/>
      <c r="K12" s="142"/>
      <c r="L12" s="142"/>
    </row>
    <row r="13" spans="1:12" x14ac:dyDescent="0.25">
      <c r="B13" s="15" t="str">
        <f>IF(B7="","x","")</f>
        <v>x</v>
      </c>
      <c r="C13" s="15" t="str">
        <f>IF(B7="","Jurnal yang salah","")</f>
        <v>Jurnal yang salah</v>
      </c>
      <c r="D13" s="23"/>
      <c r="E13" s="23"/>
      <c r="G13" s="82"/>
      <c r="H13" s="82"/>
      <c r="I13" s="82"/>
      <c r="J13" s="82"/>
      <c r="K13" s="82"/>
      <c r="L13" s="82"/>
    </row>
    <row r="14" spans="1:12" x14ac:dyDescent="0.25">
      <c r="B14" s="15"/>
      <c r="C14" s="92" t="str">
        <f>IF(C13="","",D5)</f>
        <v>Bank Mandiri</v>
      </c>
      <c r="D14" s="23">
        <f>IF(C14="","",D9)</f>
        <v>25000000</v>
      </c>
      <c r="E14" s="23"/>
      <c r="G14" s="41" t="str">
        <f>IF(G9="","","Pembuktian:")</f>
        <v>Pembuktian:</v>
      </c>
    </row>
    <row r="15" spans="1:12" x14ac:dyDescent="0.25">
      <c r="B15" s="15"/>
      <c r="C15" s="93" t="str">
        <f>IF(C14="","",D6)</f>
        <v>Bank Niaga</v>
      </c>
      <c r="D15" s="23"/>
      <c r="E15" s="23">
        <f>D14</f>
        <v>25000000</v>
      </c>
      <c r="H15" s="147" t="str">
        <f>IF(G14="","","Akun")</f>
        <v>Akun</v>
      </c>
      <c r="I15" s="147" t="str">
        <f>IF(G14="","","Saldo")</f>
        <v>Saldo</v>
      </c>
      <c r="J15" s="147"/>
      <c r="K15" s="147"/>
      <c r="L15" s="147"/>
    </row>
    <row r="16" spans="1:12" x14ac:dyDescent="0.25">
      <c r="B16" s="15"/>
      <c r="C16" s="15"/>
      <c r="D16" s="23"/>
      <c r="E16" s="23"/>
      <c r="H16" s="147"/>
      <c r="I16" s="67" t="str">
        <f>IF(G14="","","Awal")</f>
        <v>Awal</v>
      </c>
      <c r="J16" s="67" t="str">
        <f>IF(I16="","","Seharusnya")</f>
        <v>Seharusnya</v>
      </c>
      <c r="K16" s="67" t="str">
        <f>IF(J16="","","Stl Transaki")</f>
        <v>Stl Transaki</v>
      </c>
      <c r="L16" s="67" t="str">
        <f>IF(K16="","","Stl Koreksi")</f>
        <v>Stl Koreksi</v>
      </c>
    </row>
    <row r="17" spans="2:12" x14ac:dyDescent="0.25">
      <c r="B17" s="24" t="str">
        <f>IF(B7="","Koreksi Pencatatan","")</f>
        <v>Koreksi Pencatatan</v>
      </c>
      <c r="C17" s="15"/>
      <c r="D17" s="23"/>
      <c r="E17" s="23"/>
      <c r="H17" s="66" t="str">
        <f>IF(G14="","",D5)</f>
        <v>Bank Mandiri</v>
      </c>
      <c r="I17" s="13">
        <f>IF(H17="","",VLOOKUP(A5,G5:I7,3))</f>
        <v>200000000</v>
      </c>
      <c r="J17" s="13">
        <f>IF(I17="","",I17-D4)</f>
        <v>175000000</v>
      </c>
      <c r="K17" s="13">
        <f>IF(H17="","",I17+D4)</f>
        <v>225000000</v>
      </c>
      <c r="L17" s="13">
        <f>IF(H17="","",K17-D19)</f>
        <v>175000000</v>
      </c>
    </row>
    <row r="18" spans="2:12" x14ac:dyDescent="0.25">
      <c r="B18" s="15" t="str">
        <f>IF(B7="","x","")</f>
        <v>x</v>
      </c>
      <c r="C18" s="15" t="str">
        <f>IF(B7="","Jurnal Koreksi","")</f>
        <v>Jurnal Koreksi</v>
      </c>
      <c r="D18" s="23"/>
      <c r="E18" s="23"/>
      <c r="H18" s="66" t="str">
        <f>IF(G14="","",D6)</f>
        <v>Bank Niaga</v>
      </c>
      <c r="I18" s="13">
        <f>IF(H18="","",VLOOKUP(A6,G5:I7,3))</f>
        <v>175000000</v>
      </c>
      <c r="J18" s="13">
        <f>IF(H18="","",I18+D4)</f>
        <v>200000000</v>
      </c>
      <c r="K18" s="13">
        <f>IF(H18="","",I18-D4)</f>
        <v>150000000</v>
      </c>
      <c r="L18" s="13">
        <f>IF(H18="","",K18+D19)</f>
        <v>200000000</v>
      </c>
    </row>
    <row r="19" spans="2:12" x14ac:dyDescent="0.25">
      <c r="B19" s="15"/>
      <c r="C19" s="92" t="str">
        <f>IF(C14="","",C9)</f>
        <v>Bank Niaga</v>
      </c>
      <c r="D19" s="23">
        <f>IF(C19="","",D4*2)</f>
        <v>50000000</v>
      </c>
      <c r="E19" s="23"/>
    </row>
    <row r="20" spans="2:12" x14ac:dyDescent="0.25">
      <c r="C20" s="93" t="str">
        <f>IF(C15="","",C10)</f>
        <v>Bank Mandiri</v>
      </c>
      <c r="D20" s="15"/>
      <c r="E20" s="23">
        <f>D19</f>
        <v>50000000</v>
      </c>
      <c r="G20" s="22" t="str">
        <f>IF(G14="","","Penjelasan Formula")</f>
        <v>Penjelasan Formula</v>
      </c>
    </row>
    <row r="21" spans="2:12" x14ac:dyDescent="0.25">
      <c r="G21" s="67" t="str">
        <f>IF(G20="","","Sel ")</f>
        <v xml:space="preserve">Sel </v>
      </c>
      <c r="H21" s="147" t="str">
        <f>IF(G21="","","Formula")</f>
        <v>Formula</v>
      </c>
      <c r="I21" s="147"/>
      <c r="J21" s="147"/>
      <c r="K21" s="147"/>
      <c r="L21" s="147"/>
    </row>
    <row r="22" spans="2:12" x14ac:dyDescent="0.25">
      <c r="G22" s="67" t="str">
        <f>IF(G21="","","D4")</f>
        <v>D4</v>
      </c>
      <c r="H22" s="148" t="str">
        <f ca="1">IF(G22="","",_xlfn.FORMULATEXT(D4))</f>
        <v>=A4*1000000</v>
      </c>
      <c r="I22" s="148"/>
      <c r="J22" s="148"/>
      <c r="K22" s="148"/>
      <c r="L22" s="148"/>
    </row>
    <row r="23" spans="2:12" x14ac:dyDescent="0.25">
      <c r="G23" s="67" t="str">
        <f>IF(G22="","","D5")</f>
        <v>D5</v>
      </c>
      <c r="H23" s="148" t="str">
        <f ca="1">IF(G23="","",_xlfn.FORMULATEXT(D5))</f>
        <v>=VLOOKUP(A5;G5:H7;2)</v>
      </c>
      <c r="I23" s="148"/>
      <c r="J23" s="148"/>
      <c r="K23" s="148"/>
      <c r="L23" s="148"/>
    </row>
    <row r="24" spans="2:12" x14ac:dyDescent="0.25">
      <c r="G24" s="67" t="str">
        <f>IF(G23="","","D6")</f>
        <v>D6</v>
      </c>
      <c r="H24" s="148" t="str">
        <f ca="1">IF(G24="","",_xlfn.FORMULATEXT(D6))</f>
        <v>=VLOOKUP(A6;G5:H7;2)</v>
      </c>
      <c r="I24" s="148"/>
      <c r="J24" s="148"/>
      <c r="K24" s="148"/>
      <c r="L24" s="148"/>
    </row>
    <row r="25" spans="2:12" x14ac:dyDescent="0.25">
      <c r="G25" s="67" t="str">
        <f>IF(G24="","","B7")</f>
        <v>B7</v>
      </c>
      <c r="H25" s="148" t="str">
        <f ca="1">IF(G25="","",_xlfn.FORMULATEXT(B7))</f>
        <v>=IF(D5=D6;"Maaf isian salah, silakan ulangi!";"")</v>
      </c>
      <c r="I25" s="148"/>
      <c r="J25" s="148"/>
      <c r="K25" s="148"/>
      <c r="L25" s="148"/>
    </row>
    <row r="26" spans="2:12" x14ac:dyDescent="0.25">
      <c r="G26" s="67" t="str">
        <f>IF(G25="","","B8")</f>
        <v>B8</v>
      </c>
      <c r="H26" s="148" t="str">
        <f ca="1">IF(G26="","",_xlfn.FORMULATEXT(B8))</f>
        <v>=IF(B7="";"Jurnal yang seharusnya";"")</v>
      </c>
      <c r="I26" s="148"/>
      <c r="J26" s="148"/>
      <c r="K26" s="148"/>
      <c r="L26" s="148"/>
    </row>
    <row r="27" spans="2:12" x14ac:dyDescent="0.25">
      <c r="G27" s="67" t="str">
        <f>IF(G26="","","B9")</f>
        <v>B9</v>
      </c>
      <c r="H27" s="148" t="str">
        <f ca="1">IF(G27="","",_xlfn.FORMULATEXT(B9))</f>
        <v>=IF(B7="";"x";"")</v>
      </c>
      <c r="I27" s="148"/>
      <c r="J27" s="148"/>
      <c r="K27" s="148"/>
      <c r="L27" s="148"/>
    </row>
    <row r="28" spans="2:12" x14ac:dyDescent="0.25">
      <c r="G28" s="67" t="str">
        <f>IF(G26="","","C9")</f>
        <v>C9</v>
      </c>
      <c r="H28" s="148" t="str">
        <f ca="1">IF(G28="","",_xlfn.FORMULATEXT(C9))</f>
        <v>=IF(D5=D6;"";D6)</v>
      </c>
      <c r="I28" s="148"/>
      <c r="J28" s="148"/>
      <c r="K28" s="148"/>
      <c r="L28" s="148"/>
    </row>
    <row r="29" spans="2:12" x14ac:dyDescent="0.25">
      <c r="G29" s="67" t="str">
        <f>IF(G28="","","C10")</f>
        <v>C10</v>
      </c>
      <c r="H29" s="148" t="str">
        <f ca="1">IF(G29="","",_xlfn.FORMULATEXT(C10))</f>
        <v>=IF(C9="";"";D5)</v>
      </c>
      <c r="I29" s="148"/>
      <c r="J29" s="148"/>
      <c r="K29" s="148"/>
      <c r="L29" s="148"/>
    </row>
    <row r="30" spans="2:12" x14ac:dyDescent="0.25">
      <c r="G30" s="67" t="str">
        <f>IF(G29="","","D9")</f>
        <v>D9</v>
      </c>
      <c r="H30" s="148" t="str">
        <f ca="1">IF(G30="","",_xlfn.FORMULATEXT(D9))</f>
        <v>=IF(B8="";"";D4)</v>
      </c>
      <c r="I30" s="148"/>
      <c r="J30" s="148"/>
      <c r="K30" s="148"/>
      <c r="L30" s="148"/>
    </row>
    <row r="31" spans="2:12" x14ac:dyDescent="0.25">
      <c r="G31" s="67" t="str">
        <f>IF(G30="","","E10")</f>
        <v>E10</v>
      </c>
      <c r="H31" s="148" t="str">
        <f ca="1">IF(G31="","",_xlfn.FORMULATEXT(E10))</f>
        <v>=D9</v>
      </c>
      <c r="I31" s="148"/>
      <c r="J31" s="148"/>
      <c r="K31" s="148"/>
      <c r="L31" s="148"/>
    </row>
    <row r="32" spans="2:12" x14ac:dyDescent="0.25">
      <c r="G32" s="67" t="str">
        <f>IF(G31="","","B12")</f>
        <v>B12</v>
      </c>
      <c r="H32" s="148" t="str">
        <f ca="1">IF(G32="","",_xlfn.FORMULATEXT(B12))</f>
        <v>=IF(B7="";"Kesalahan Pencatatan Transaksi";"")</v>
      </c>
      <c r="I32" s="148"/>
      <c r="J32" s="148"/>
      <c r="K32" s="148"/>
      <c r="L32" s="148"/>
    </row>
    <row r="33" spans="7:12" x14ac:dyDescent="0.25">
      <c r="G33" s="67" t="str">
        <f>IF(G32="","","B13")</f>
        <v>B13</v>
      </c>
      <c r="H33" s="148" t="str">
        <f ca="1">IF(G33="","",_xlfn.FORMULATEXT(B13))</f>
        <v>=IF(B7="";"x";"")</v>
      </c>
      <c r="I33" s="148"/>
      <c r="J33" s="148"/>
      <c r="K33" s="148"/>
      <c r="L33" s="148"/>
    </row>
    <row r="34" spans="7:12" x14ac:dyDescent="0.25">
      <c r="G34" s="67" t="str">
        <f>IF(G32="","","C13")</f>
        <v>C13</v>
      </c>
      <c r="H34" s="148" t="str">
        <f ca="1">IF(G34="","",_xlfn.FORMULATEXT(C13))</f>
        <v>=IF(B7="";"Jurnal yang salah";"")</v>
      </c>
      <c r="I34" s="148"/>
      <c r="J34" s="148"/>
      <c r="K34" s="148"/>
      <c r="L34" s="148"/>
    </row>
    <row r="35" spans="7:12" x14ac:dyDescent="0.25">
      <c r="G35" s="67" t="str">
        <f>IF(G34="","","C14")</f>
        <v>C14</v>
      </c>
      <c r="H35" s="148" t="str">
        <f ca="1">IF(G35="","",_xlfn.FORMULATEXT(C14))</f>
        <v>=IF(C13="";"";D5)</v>
      </c>
      <c r="I35" s="148"/>
      <c r="J35" s="148"/>
      <c r="K35" s="148"/>
      <c r="L35" s="148"/>
    </row>
    <row r="36" spans="7:12" x14ac:dyDescent="0.25">
      <c r="G36" s="67" t="str">
        <f>IF(G35="","","C15")</f>
        <v>C15</v>
      </c>
      <c r="H36" s="148" t="str">
        <f ca="1">IF(G36="","",_xlfn.FORMULATEXT(C15))</f>
        <v>=IF(C14="";"";D6)</v>
      </c>
      <c r="I36" s="148"/>
      <c r="J36" s="148"/>
      <c r="K36" s="148"/>
      <c r="L36" s="148"/>
    </row>
    <row r="37" spans="7:12" x14ac:dyDescent="0.25">
      <c r="G37" s="67" t="str">
        <f>IF(G36="","","D14")</f>
        <v>D14</v>
      </c>
      <c r="H37" s="148" t="str">
        <f ca="1">IF(G37="","",_xlfn.FORMULATEXT(D14))</f>
        <v>=IF(C14="";"";D9)</v>
      </c>
      <c r="I37" s="148"/>
      <c r="J37" s="148"/>
      <c r="K37" s="148"/>
      <c r="L37" s="148"/>
    </row>
    <row r="38" spans="7:12" x14ac:dyDescent="0.25">
      <c r="G38" s="67" t="str">
        <f>IF(G37="","","E15")</f>
        <v>E15</v>
      </c>
      <c r="H38" s="148" t="str">
        <f ca="1">IF(G38="","",_xlfn.FORMULATEXT(E15))</f>
        <v>=D14</v>
      </c>
      <c r="I38" s="148"/>
      <c r="J38" s="148"/>
      <c r="K38" s="148"/>
      <c r="L38" s="148"/>
    </row>
    <row r="39" spans="7:12" x14ac:dyDescent="0.25">
      <c r="G39" s="67" t="str">
        <f>IF(G38="","","B17")</f>
        <v>B17</v>
      </c>
      <c r="H39" s="148" t="str">
        <f ca="1">IF(G39="","",_xlfn.FORMULATEXT(B17))</f>
        <v>=IF(B7="";"Koreksi Pencatatan";"")</v>
      </c>
      <c r="I39" s="148"/>
      <c r="J39" s="148"/>
      <c r="K39" s="148"/>
      <c r="L39" s="148"/>
    </row>
    <row r="40" spans="7:12" x14ac:dyDescent="0.25">
      <c r="G40" s="67" t="str">
        <f>IF(G39="","","B18")</f>
        <v>B18</v>
      </c>
      <c r="H40" s="148" t="str">
        <f ca="1">IF(G40="","",_xlfn.FORMULATEXT(B18))</f>
        <v>=IF(B7="";"x";"")</v>
      </c>
      <c r="I40" s="148"/>
      <c r="J40" s="148"/>
      <c r="K40" s="148"/>
      <c r="L40" s="148"/>
    </row>
    <row r="41" spans="7:12" x14ac:dyDescent="0.25">
      <c r="G41" s="67" t="str">
        <f>IF(G39="","","C18")</f>
        <v>C18</v>
      </c>
      <c r="H41" s="148" t="str">
        <f ca="1">IF(G41="","",_xlfn.FORMULATEXT(C18))</f>
        <v>=IF(B7="";"Jurnal Koreksi";"")</v>
      </c>
      <c r="I41" s="148"/>
      <c r="J41" s="148"/>
      <c r="K41" s="148"/>
      <c r="L41" s="148"/>
    </row>
    <row r="42" spans="7:12" x14ac:dyDescent="0.25">
      <c r="G42" s="67" t="str">
        <f>IF(G41="","","C19")</f>
        <v>C19</v>
      </c>
      <c r="H42" s="148" t="str">
        <f ca="1">IF(G42="","",_xlfn.FORMULATEXT(C19))</f>
        <v>=IF(C14="";"";C9)</v>
      </c>
      <c r="I42" s="148"/>
      <c r="J42" s="148"/>
      <c r="K42" s="148"/>
      <c r="L42" s="148"/>
    </row>
    <row r="43" spans="7:12" x14ac:dyDescent="0.25">
      <c r="G43" s="67" t="str">
        <f>IF(G42="","","C15")</f>
        <v>C15</v>
      </c>
      <c r="H43" s="148" t="str">
        <f ca="1">IF(G43="","",_xlfn.FORMULATEXT(C20))</f>
        <v>=IF(C15="";"";C10)</v>
      </c>
      <c r="I43" s="148"/>
      <c r="J43" s="148"/>
      <c r="K43" s="148"/>
      <c r="L43" s="148"/>
    </row>
    <row r="44" spans="7:12" x14ac:dyDescent="0.25">
      <c r="G44" s="67" t="str">
        <f>IF(G43="","","D19")</f>
        <v>D19</v>
      </c>
      <c r="H44" s="148" t="str">
        <f ca="1">IF(G44="","",_xlfn.FORMULATEXT(D19))</f>
        <v>=IF(C19="";"";D4*2)</v>
      </c>
      <c r="I44" s="148"/>
      <c r="J44" s="148"/>
      <c r="K44" s="148"/>
      <c r="L44" s="148"/>
    </row>
    <row r="45" spans="7:12" x14ac:dyDescent="0.25">
      <c r="G45" s="67" t="str">
        <f>IF(G44="","","E20")</f>
        <v>E20</v>
      </c>
      <c r="H45" s="148" t="str">
        <f ca="1">IF(G45="","",_xlfn.FORMULATEXT(E20))</f>
        <v>=D19</v>
      </c>
      <c r="I45" s="148"/>
      <c r="J45" s="148"/>
      <c r="K45" s="148"/>
      <c r="L45" s="148"/>
    </row>
    <row r="46" spans="7:12" x14ac:dyDescent="0.25">
      <c r="G46" s="67" t="str">
        <f>IF(G45="","","G9")</f>
        <v>G9</v>
      </c>
      <c r="H46" s="148" t="str">
        <f ca="1">IF(G46="","",_xlfn.FORMULATEXT(G9))</f>
        <v>=IF(C9="";"";"Penjelasan Koreksi")</v>
      </c>
      <c r="I46" s="148"/>
      <c r="J46" s="148"/>
      <c r="K46" s="148"/>
      <c r="L46" s="148"/>
    </row>
    <row r="47" spans="7:12" ht="60" customHeight="1" x14ac:dyDescent="0.25">
      <c r="G47" s="67" t="str">
        <f>IF(G46="","","G10")</f>
        <v>G10</v>
      </c>
      <c r="H47" s="149" t="str">
        <f ca="1">IF(G47="","",_xlfn.FORMULATEXT(G10))</f>
        <v>=IF(C9="";"";"Jurnal koreksi dibuat dengan membalik posisi akun (yang tadinya di debet menjadi di kredit dan sebaliknya) pada jurnal yang salah, dengan nilai transaksi dikalikan dua yang sebelumnya Rp "&amp;TEXT(D4;"#.###")&amp;" menjadi Rp "&amp;TEXT(D4*2;"#.###"))</v>
      </c>
      <c r="I47" s="149"/>
      <c r="J47" s="149"/>
      <c r="K47" s="149"/>
      <c r="L47" s="149"/>
    </row>
    <row r="48" spans="7:12" x14ac:dyDescent="0.25">
      <c r="G48" s="67" t="str">
        <f>IF(G47="","","G14")</f>
        <v>G14</v>
      </c>
      <c r="H48" s="148" t="str">
        <f ca="1">IF(G48="","",_xlfn.FORMULATEXT(G14))</f>
        <v>=IF(G9="";"";"Pembuktian:")</v>
      </c>
      <c r="I48" s="148"/>
      <c r="J48" s="148"/>
      <c r="K48" s="148"/>
      <c r="L48" s="148"/>
    </row>
    <row r="49" spans="7:12" x14ac:dyDescent="0.25">
      <c r="G49" s="67" t="str">
        <f>IF(G48="","","H15")</f>
        <v>H15</v>
      </c>
      <c r="H49" s="148" t="str">
        <f ca="1">IF(G49="","",_xlfn.FORMULATEXT(H15))</f>
        <v>=IF(G14="";"";"Akun")</v>
      </c>
      <c r="I49" s="148"/>
      <c r="J49" s="148"/>
      <c r="K49" s="148"/>
      <c r="L49" s="148"/>
    </row>
    <row r="50" spans="7:12" x14ac:dyDescent="0.25">
      <c r="G50" s="67" t="str">
        <f>IF(G49="","","H17")</f>
        <v>H17</v>
      </c>
      <c r="H50" s="148" t="str">
        <f ca="1">IF(G50="","",_xlfn.FORMULATEXT(H17))</f>
        <v>=IF(G14="";"";D5)</v>
      </c>
      <c r="I50" s="148"/>
      <c r="J50" s="148"/>
      <c r="K50" s="148"/>
      <c r="L50" s="148"/>
    </row>
    <row r="51" spans="7:12" x14ac:dyDescent="0.25">
      <c r="G51" s="67" t="str">
        <f>IF(G50="","","H18")</f>
        <v>H18</v>
      </c>
      <c r="H51" s="148" t="str">
        <f ca="1">IF(G51="","",_xlfn.FORMULATEXT(H18))</f>
        <v>=IF(G14="";"";D6)</v>
      </c>
      <c r="I51" s="148"/>
      <c r="J51" s="148"/>
      <c r="K51" s="148"/>
      <c r="L51" s="148"/>
    </row>
    <row r="52" spans="7:12" x14ac:dyDescent="0.25">
      <c r="G52" s="67" t="str">
        <f>IF(G51="","","I15")</f>
        <v>I15</v>
      </c>
      <c r="H52" s="148" t="str">
        <f ca="1">IF(G52="","",_xlfn.FORMULATEXT(I15))</f>
        <v>=IF(G14="";"";"Saldo")</v>
      </c>
      <c r="I52" s="148"/>
      <c r="J52" s="148"/>
      <c r="K52" s="148"/>
      <c r="L52" s="148"/>
    </row>
    <row r="53" spans="7:12" x14ac:dyDescent="0.25">
      <c r="G53" s="67" t="str">
        <f>IF(G52="","","I16")</f>
        <v>I16</v>
      </c>
      <c r="H53" s="148" t="str">
        <f ca="1">IF(G53="","",_xlfn.FORMULATEXT(I16))</f>
        <v>=IF(G14="";"";"Awal")</v>
      </c>
      <c r="I53" s="148"/>
      <c r="J53" s="148"/>
      <c r="K53" s="148"/>
      <c r="L53" s="148"/>
    </row>
    <row r="54" spans="7:12" x14ac:dyDescent="0.25">
      <c r="G54" s="67" t="str">
        <f>IF(G53="","","I17")</f>
        <v>I17</v>
      </c>
      <c r="H54" s="148" t="str">
        <f ca="1">IF(G54="","",_xlfn.FORMULATEXT(I17))</f>
        <v>=IF(H17="";"";VLOOKUP(A5;G5:I7;3))</v>
      </c>
      <c r="I54" s="148"/>
      <c r="J54" s="148"/>
      <c r="K54" s="148"/>
      <c r="L54" s="148"/>
    </row>
    <row r="55" spans="7:12" x14ac:dyDescent="0.25">
      <c r="G55" s="67" t="str">
        <f>IF(G54="","","I18")</f>
        <v>I18</v>
      </c>
      <c r="H55" s="148" t="str">
        <f ca="1">IF(G55="","",_xlfn.FORMULATEXT(I18))</f>
        <v>=IF(H18="";"";VLOOKUP(A6;G5:I7;3))</v>
      </c>
      <c r="I55" s="148"/>
      <c r="J55" s="148"/>
      <c r="K55" s="148"/>
      <c r="L55" s="148"/>
    </row>
    <row r="56" spans="7:12" x14ac:dyDescent="0.25">
      <c r="G56" s="67" t="str">
        <f>IF(G55="","","J16")</f>
        <v>J16</v>
      </c>
      <c r="H56" s="148" t="str">
        <f ca="1">IF(G56="","",_xlfn.FORMULATEXT(J16))</f>
        <v>=IF(I16="";"";"Seharusnya")</v>
      </c>
      <c r="I56" s="148"/>
      <c r="J56" s="148"/>
      <c r="K56" s="148"/>
      <c r="L56" s="148"/>
    </row>
    <row r="57" spans="7:12" x14ac:dyDescent="0.25">
      <c r="G57" s="67" t="str">
        <f>IF(G56="","","J17")</f>
        <v>J17</v>
      </c>
      <c r="H57" s="148" t="str">
        <f ca="1">IF(G57="","",_xlfn.FORMULATEXT(J17))</f>
        <v>=IF(I17="";"";I17-D4)</v>
      </c>
      <c r="I57" s="148"/>
      <c r="J57" s="148"/>
      <c r="K57" s="148"/>
      <c r="L57" s="148"/>
    </row>
    <row r="58" spans="7:12" x14ac:dyDescent="0.25">
      <c r="G58" s="67" t="str">
        <f>IF(G57="","","J18")</f>
        <v>J18</v>
      </c>
      <c r="H58" s="148" t="str">
        <f ca="1">IF(G58="","",_xlfn.FORMULATEXT(J18))</f>
        <v>=IF(H18="";"";I18+D4)</v>
      </c>
      <c r="I58" s="148"/>
      <c r="J58" s="148"/>
      <c r="K58" s="148"/>
      <c r="L58" s="148"/>
    </row>
    <row r="59" spans="7:12" x14ac:dyDescent="0.25">
      <c r="G59" s="67" t="str">
        <f>IF(G58="","","K16")</f>
        <v>K16</v>
      </c>
      <c r="H59" s="148" t="str">
        <f ca="1">IF(G59="","",_xlfn.FORMULATEXT(K16))</f>
        <v>=IF(J16="";"";"Stl Transaki")</v>
      </c>
      <c r="I59" s="148"/>
      <c r="J59" s="148"/>
      <c r="K59" s="148"/>
      <c r="L59" s="148"/>
    </row>
    <row r="60" spans="7:12" x14ac:dyDescent="0.25">
      <c r="G60" s="67" t="str">
        <f>IF(G59="","","K17")</f>
        <v>K17</v>
      </c>
      <c r="H60" s="148" t="str">
        <f ca="1">IF(G60="","",_xlfn.FORMULATEXT(K17))</f>
        <v>=IF(H17="";"";I17+D4)</v>
      </c>
      <c r="I60" s="148"/>
      <c r="J60" s="148"/>
      <c r="K60" s="148"/>
      <c r="L60" s="148"/>
    </row>
    <row r="61" spans="7:12" x14ac:dyDescent="0.25">
      <c r="G61" s="67" t="str">
        <f>IF(G60="","","K18")</f>
        <v>K18</v>
      </c>
      <c r="H61" s="148" t="str">
        <f ca="1">IF(G61="","",_xlfn.FORMULATEXT(K18))</f>
        <v>=IF(H18="";"";I18-D4)</v>
      </c>
      <c r="I61" s="148"/>
      <c r="J61" s="148"/>
      <c r="K61" s="148"/>
      <c r="L61" s="148"/>
    </row>
    <row r="62" spans="7:12" x14ac:dyDescent="0.25">
      <c r="G62" s="67" t="str">
        <f>IF(G61="","","L16")</f>
        <v>L16</v>
      </c>
      <c r="H62" s="148" t="str">
        <f ca="1">IF(G62="","",_xlfn.FORMULATEXT(L16))</f>
        <v>=IF(K16="";"";"Stl Koreksi")</v>
      </c>
      <c r="I62" s="148"/>
      <c r="J62" s="148"/>
      <c r="K62" s="148"/>
      <c r="L62" s="148"/>
    </row>
    <row r="63" spans="7:12" x14ac:dyDescent="0.25">
      <c r="G63" s="67" t="str">
        <f>IF(G62="","","L17")</f>
        <v>L17</v>
      </c>
      <c r="H63" s="148" t="str">
        <f ca="1">IF(G63="","",_xlfn.FORMULATEXT(L17))</f>
        <v>=IF(H17="";"";K17-D19)</v>
      </c>
      <c r="I63" s="148"/>
      <c r="J63" s="148"/>
      <c r="K63" s="148"/>
      <c r="L63" s="148"/>
    </row>
    <row r="64" spans="7:12" x14ac:dyDescent="0.25">
      <c r="G64" s="67" t="str">
        <f>IF(G63="","","L18")</f>
        <v>L18</v>
      </c>
      <c r="H64" s="148" t="str">
        <f ca="1">IF(G64="","",_xlfn.FORMULATEXT(L18))</f>
        <v>=IF(H18="";"";K18+D19)</v>
      </c>
      <c r="I64" s="148"/>
      <c r="J64" s="148"/>
      <c r="K64" s="148"/>
      <c r="L64" s="148"/>
    </row>
    <row r="65" ht="19.5" customHeight="1" x14ac:dyDescent="0.25"/>
  </sheetData>
  <mergeCells count="49">
    <mergeCell ref="H63:L63"/>
    <mergeCell ref="H64:L64"/>
    <mergeCell ref="H27:L27"/>
    <mergeCell ref="H33:L33"/>
    <mergeCell ref="H40:L40"/>
    <mergeCell ref="H58:L58"/>
    <mergeCell ref="H59:L59"/>
    <mergeCell ref="H60:L60"/>
    <mergeCell ref="H61:L61"/>
    <mergeCell ref="H62:L62"/>
    <mergeCell ref="H53:L53"/>
    <mergeCell ref="H54:L54"/>
    <mergeCell ref="H55:L55"/>
    <mergeCell ref="H56:L56"/>
    <mergeCell ref="H57:L57"/>
    <mergeCell ref="H48:L48"/>
    <mergeCell ref="H51:L51"/>
    <mergeCell ref="H52:L52"/>
    <mergeCell ref="H42:L42"/>
    <mergeCell ref="H43:L43"/>
    <mergeCell ref="H44:L44"/>
    <mergeCell ref="H45:L45"/>
    <mergeCell ref="H46:L46"/>
    <mergeCell ref="H38:L38"/>
    <mergeCell ref="H39:L39"/>
    <mergeCell ref="H41:L41"/>
    <mergeCell ref="H49:L49"/>
    <mergeCell ref="H50:L50"/>
    <mergeCell ref="H47:L47"/>
    <mergeCell ref="H21:L21"/>
    <mergeCell ref="H22:L22"/>
    <mergeCell ref="H23:L23"/>
    <mergeCell ref="H24:L24"/>
    <mergeCell ref="H25:L25"/>
    <mergeCell ref="H26:L26"/>
    <mergeCell ref="H28:L28"/>
    <mergeCell ref="H29:L29"/>
    <mergeCell ref="H30:L30"/>
    <mergeCell ref="H31:L31"/>
    <mergeCell ref="H32:L32"/>
    <mergeCell ref="H34:L34"/>
    <mergeCell ref="H35:L35"/>
    <mergeCell ref="H36:L36"/>
    <mergeCell ref="H37:L37"/>
    <mergeCell ref="D4:E4"/>
    <mergeCell ref="B7:E7"/>
    <mergeCell ref="G10:L12"/>
    <mergeCell ref="H15:H16"/>
    <mergeCell ref="I15:L15"/>
  </mergeCells>
  <conditionalFormatting sqref="B18">
    <cfRule type="notContainsBlanks" dxfId="71" priority="18">
      <formula>LEN(TRIM(B18))&gt;0</formula>
    </cfRule>
  </conditionalFormatting>
  <conditionalFormatting sqref="B7:E7">
    <cfRule type="notContainsBlanks" dxfId="70" priority="17">
      <formula>LEN(TRIM(B7))&gt;0</formula>
    </cfRule>
  </conditionalFormatting>
  <conditionalFormatting sqref="B13">
    <cfRule type="notContainsBlanks" dxfId="69" priority="14">
      <formula>LEN(TRIM(B13))&gt;0</formula>
    </cfRule>
  </conditionalFormatting>
  <conditionalFormatting sqref="B9">
    <cfRule type="notContainsBlanks" dxfId="68" priority="12">
      <formula>LEN(TRIM(B9))&gt;0</formula>
    </cfRule>
  </conditionalFormatting>
  <conditionalFormatting sqref="H15:H16">
    <cfRule type="notContainsBlanks" dxfId="67" priority="11">
      <formula>LEN(TRIM(H15))&gt;0</formula>
    </cfRule>
  </conditionalFormatting>
  <conditionalFormatting sqref="I15:L15">
    <cfRule type="notContainsBlanks" dxfId="66" priority="19">
      <formula>LEN(TRIM(I15))&gt;0</formula>
    </cfRule>
  </conditionalFormatting>
  <conditionalFormatting sqref="I16:K16">
    <cfRule type="notContainsBlanks" dxfId="65" priority="9">
      <formula>LEN(TRIM(I16))&gt;0</formula>
    </cfRule>
  </conditionalFormatting>
  <conditionalFormatting sqref="L16">
    <cfRule type="notContainsBlanks" dxfId="64" priority="8">
      <formula>LEN(TRIM(L16))&gt;0</formula>
    </cfRule>
  </conditionalFormatting>
  <conditionalFormatting sqref="H17:K18">
    <cfRule type="notContainsBlanks" dxfId="63" priority="7">
      <formula>LEN(TRIM(H17))&gt;0</formula>
    </cfRule>
  </conditionalFormatting>
  <conditionalFormatting sqref="L17:L18">
    <cfRule type="notContainsBlanks" dxfId="62" priority="6">
      <formula>LEN(TRIM(L17))&gt;0</formula>
    </cfRule>
  </conditionalFormatting>
  <conditionalFormatting sqref="G10:L12">
    <cfRule type="notContainsBlanks" dxfId="61" priority="5">
      <formula>LEN(TRIM(G10))&gt;0</formula>
    </cfRule>
  </conditionalFormatting>
  <conditionalFormatting sqref="G21">
    <cfRule type="notContainsBlanks" dxfId="60" priority="4">
      <formula>LEN(TRIM(G21))&gt;0</formula>
    </cfRule>
  </conditionalFormatting>
  <conditionalFormatting sqref="H21:L21">
    <cfRule type="notContainsBlanks" dxfId="59" priority="3">
      <formula>LEN(TRIM(H21))&gt;0</formula>
    </cfRule>
  </conditionalFormatting>
  <conditionalFormatting sqref="G22:G64">
    <cfRule type="notContainsBlanks" dxfId="58" priority="2">
      <formula>LEN(TRIM(G22))&gt;0</formula>
    </cfRule>
  </conditionalFormatting>
  <conditionalFormatting sqref="H22:L64">
    <cfRule type="notContainsBlanks" dxfId="57" priority="1">
      <formula>LEN(TRIM(H22))&gt;0</formula>
    </cfRule>
  </conditionalFormatting>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Scroll Bar 1">
              <controlPr defaultSize="0" autoPict="0">
                <anchor moveWithCells="1">
                  <from>
                    <xdr:col>2</xdr:col>
                    <xdr:colOff>1057275</xdr:colOff>
                    <xdr:row>5</xdr:row>
                    <xdr:rowOff>19050</xdr:rowOff>
                  </from>
                  <to>
                    <xdr:col>2</xdr:col>
                    <xdr:colOff>1543050</xdr:colOff>
                    <xdr:row>5</xdr:row>
                    <xdr:rowOff>180975</xdr:rowOff>
                  </to>
                </anchor>
              </controlPr>
            </control>
          </mc:Choice>
        </mc:AlternateContent>
        <mc:AlternateContent xmlns:mc="http://schemas.openxmlformats.org/markup-compatibility/2006">
          <mc:Choice Requires="x14">
            <control shapeId="5122" r:id="rId5" name="Scroll Bar 2">
              <controlPr defaultSize="0" autoPict="0">
                <anchor moveWithCells="1">
                  <from>
                    <xdr:col>2</xdr:col>
                    <xdr:colOff>1057275</xdr:colOff>
                    <xdr:row>4</xdr:row>
                    <xdr:rowOff>19050</xdr:rowOff>
                  </from>
                  <to>
                    <xdr:col>2</xdr:col>
                    <xdr:colOff>1543050</xdr:colOff>
                    <xdr:row>4</xdr:row>
                    <xdr:rowOff>180975</xdr:rowOff>
                  </to>
                </anchor>
              </controlPr>
            </control>
          </mc:Choice>
        </mc:AlternateContent>
        <mc:AlternateContent xmlns:mc="http://schemas.openxmlformats.org/markup-compatibility/2006">
          <mc:Choice Requires="x14">
            <control shapeId="5123" r:id="rId6" name="Scroll Bar 3">
              <controlPr defaultSize="0" autoPict="0">
                <anchor moveWithCells="1">
                  <from>
                    <xdr:col>2</xdr:col>
                    <xdr:colOff>1057275</xdr:colOff>
                    <xdr:row>3</xdr:row>
                    <xdr:rowOff>19050</xdr:rowOff>
                  </from>
                  <to>
                    <xdr:col>2</xdr:col>
                    <xdr:colOff>1543050</xdr:colOff>
                    <xdr:row>3</xdr:row>
                    <xdr:rowOff>180975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
  <sheetViews>
    <sheetView showGridLines="0" workbookViewId="0">
      <selection activeCell="H11" sqref="H11:J12"/>
    </sheetView>
  </sheetViews>
  <sheetFormatPr defaultRowHeight="15" x14ac:dyDescent="0.25"/>
  <cols>
    <col min="1" max="1" width="5.85546875" style="1" customWidth="1"/>
    <col min="2" max="2" width="0.7109375" style="1" customWidth="1"/>
    <col min="3" max="3" width="24.7109375" style="1" customWidth="1"/>
    <col min="4" max="4" width="9.5703125" style="1" customWidth="1"/>
    <col min="5" max="6" width="11.5703125" style="1" customWidth="1"/>
    <col min="7" max="7" width="5.85546875" style="1" customWidth="1"/>
    <col min="8" max="8" width="6.28515625" style="1" customWidth="1"/>
    <col min="9" max="9" width="17.85546875" style="1" customWidth="1"/>
    <col min="10" max="10" width="43.85546875" style="1" customWidth="1"/>
    <col min="11" max="11" width="5.85546875" style="1" customWidth="1"/>
    <col min="12" max="16384" width="9.140625" style="1"/>
  </cols>
  <sheetData>
    <row r="1" spans="1:10" ht="19.5" customHeight="1" x14ac:dyDescent="0.25"/>
    <row r="2" spans="1:10" ht="18.75" x14ac:dyDescent="0.25">
      <c r="B2" s="2" t="s">
        <v>145</v>
      </c>
    </row>
    <row r="3" spans="1:10" x14ac:dyDescent="0.25">
      <c r="B3" s="21" t="s">
        <v>25</v>
      </c>
    </row>
    <row r="4" spans="1:10" ht="16.5" customHeight="1" x14ac:dyDescent="0.25">
      <c r="A4" s="20">
        <v>1500</v>
      </c>
      <c r="B4" s="9"/>
      <c r="C4" s="10" t="s">
        <v>4</v>
      </c>
      <c r="D4" s="136">
        <f>A4*10000</f>
        <v>15000000</v>
      </c>
      <c r="E4" s="137"/>
      <c r="H4" s="30" t="s">
        <v>141</v>
      </c>
    </row>
    <row r="5" spans="1:10" ht="16.5" customHeight="1" x14ac:dyDescent="0.25">
      <c r="A5" s="20">
        <v>2</v>
      </c>
      <c r="B5" s="9"/>
      <c r="C5" s="10" t="s">
        <v>3</v>
      </c>
      <c r="D5" s="11" t="str">
        <f>VLOOKUP(A5,H6:I8,2)</f>
        <v>Bank Mandiri</v>
      </c>
      <c r="E5" s="12"/>
      <c r="H5" s="95" t="s">
        <v>56</v>
      </c>
      <c r="I5" s="97" t="s">
        <v>106</v>
      </c>
    </row>
    <row r="6" spans="1:10" ht="16.5" customHeight="1" x14ac:dyDescent="0.25">
      <c r="A6" s="20">
        <v>3</v>
      </c>
      <c r="B6" s="9"/>
      <c r="C6" s="10" t="s">
        <v>27</v>
      </c>
      <c r="D6" s="11" t="str">
        <f>VLOOKUP(A6,H6:I8,2)</f>
        <v>Bank Niaga</v>
      </c>
      <c r="E6" s="12"/>
      <c r="H6" s="67">
        <v>1</v>
      </c>
      <c r="I6" s="96" t="s">
        <v>26</v>
      </c>
    </row>
    <row r="7" spans="1:10" ht="16.5" customHeight="1" x14ac:dyDescent="0.25">
      <c r="A7" s="20">
        <v>3</v>
      </c>
      <c r="B7" s="9"/>
      <c r="C7" s="19" t="s">
        <v>28</v>
      </c>
      <c r="D7" s="14" t="str">
        <f>IF(D5=D6,"",VLOOKUP(SUM(H6:H8)-SUM(A5:A6),H6:I8,2))</f>
        <v>Bank Central Asia</v>
      </c>
      <c r="E7" s="12"/>
      <c r="H7" s="67">
        <v>2</v>
      </c>
      <c r="I7" s="96" t="s">
        <v>12</v>
      </c>
    </row>
    <row r="8" spans="1:10" ht="16.5" customHeight="1" x14ac:dyDescent="0.25">
      <c r="B8" s="146" t="str">
        <f>IF(D5=D6,"Maaf isian salah, silakan ulangi!","")</f>
        <v/>
      </c>
      <c r="C8" s="146"/>
      <c r="D8" s="146"/>
      <c r="E8" s="146"/>
      <c r="H8" s="67">
        <v>3</v>
      </c>
      <c r="I8" s="96" t="s">
        <v>13</v>
      </c>
    </row>
    <row r="9" spans="1:10" x14ac:dyDescent="0.25">
      <c r="A9" s="15"/>
      <c r="B9" s="1" t="str">
        <f>IF(B8="","x","")</f>
        <v>x</v>
      </c>
      <c r="C9" s="98" t="str">
        <f>IF(B8="","Jurnal yang seharusnya","")</f>
        <v>Jurnal yang seharusnya</v>
      </c>
      <c r="D9" s="15"/>
      <c r="E9" s="15"/>
      <c r="F9" s="15"/>
    </row>
    <row r="10" spans="1:10" x14ac:dyDescent="0.25">
      <c r="A10" s="15"/>
      <c r="B10" s="15"/>
      <c r="C10" s="92" t="str">
        <f>IF(B8="",D6,"")</f>
        <v>Bank Niaga</v>
      </c>
      <c r="D10" s="15"/>
      <c r="E10" s="23">
        <f>IF(C9="","",D4)</f>
        <v>15000000</v>
      </c>
      <c r="F10" s="15"/>
      <c r="H10" s="22" t="str">
        <f>IF(C9="","","Penjelasan Koreksi")</f>
        <v>Penjelasan Koreksi</v>
      </c>
    </row>
    <row r="11" spans="1:10" x14ac:dyDescent="0.25">
      <c r="A11" s="15"/>
      <c r="B11" s="15"/>
      <c r="C11" s="93" t="str">
        <f>IF(C10="","",D5)</f>
        <v>Bank Mandiri</v>
      </c>
      <c r="D11" s="15"/>
      <c r="E11" s="15"/>
      <c r="F11" s="23">
        <f>E10</f>
        <v>15000000</v>
      </c>
      <c r="H11" s="150" t="str">
        <f>IF(H10="","","Jurnal koreksi dibuat dengan mendebet akun yang seharusnya ("&amp;D6&amp;") dan mengkredit akun yang salah ("&amp;D7&amp;")")</f>
        <v>Jurnal koreksi dibuat dengan mendebet akun yang seharusnya (Bank Niaga) dan mengkredit akun yang salah (Bank Central Asia)</v>
      </c>
      <c r="I11" s="150"/>
      <c r="J11" s="150"/>
    </row>
    <row r="12" spans="1:10" ht="17.25" customHeight="1" x14ac:dyDescent="0.25">
      <c r="A12" s="15"/>
      <c r="B12" s="15"/>
      <c r="C12" s="15"/>
      <c r="D12" s="15"/>
      <c r="E12" s="15"/>
      <c r="F12" s="15"/>
      <c r="H12" s="150"/>
      <c r="I12" s="150"/>
      <c r="J12" s="150"/>
    </row>
    <row r="13" spans="1:10" x14ac:dyDescent="0.25">
      <c r="A13" s="15"/>
      <c r="B13" s="24" t="str">
        <f>IF(B8="","Kesalahan Pencatatan Transaksi","")</f>
        <v>Kesalahan Pencatatan Transaksi</v>
      </c>
      <c r="C13" s="15"/>
      <c r="D13" s="15"/>
      <c r="E13" s="15"/>
      <c r="F13" s="15"/>
    </row>
    <row r="14" spans="1:10" x14ac:dyDescent="0.25">
      <c r="A14" s="15"/>
      <c r="B14" s="15" t="str">
        <f>IF(B8="","x","")</f>
        <v>x</v>
      </c>
      <c r="C14" s="15" t="str">
        <f>IF(B8="","Jurnal yang salah","")</f>
        <v>Jurnal yang salah</v>
      </c>
      <c r="D14" s="15"/>
      <c r="E14" s="23"/>
      <c r="F14" s="23"/>
      <c r="H14" s="22" t="str">
        <f>IF(H10="","","Penjelasan Formula")</f>
        <v>Penjelasan Formula</v>
      </c>
    </row>
    <row r="15" spans="1:10" x14ac:dyDescent="0.25">
      <c r="A15" s="15"/>
      <c r="B15" s="15"/>
      <c r="C15" s="92" t="str">
        <f>IF(C14="","",D7)</f>
        <v>Bank Central Asia</v>
      </c>
      <c r="D15" s="15"/>
      <c r="E15" s="23">
        <f>F11</f>
        <v>15000000</v>
      </c>
      <c r="F15" s="23"/>
      <c r="H15" s="67" t="str">
        <f>IF(H14="","","Sel")</f>
        <v>Sel</v>
      </c>
      <c r="I15" s="147" t="str">
        <f>IF(H15="","","Formula")</f>
        <v>Formula</v>
      </c>
      <c r="J15" s="147"/>
    </row>
    <row r="16" spans="1:10" x14ac:dyDescent="0.25">
      <c r="A16" s="15"/>
      <c r="B16" s="15"/>
      <c r="C16" s="93" t="str">
        <f>IF(C15="","",D5)</f>
        <v>Bank Mandiri</v>
      </c>
      <c r="D16" s="15"/>
      <c r="E16" s="23"/>
      <c r="F16" s="23">
        <f>E15</f>
        <v>15000000</v>
      </c>
      <c r="H16" s="67" t="str">
        <f>IF(H15="","","D4")</f>
        <v>D4</v>
      </c>
      <c r="I16" s="148" t="str">
        <f ca="1">IF(H16="","",_xlfn.FORMULATEXT(D4))</f>
        <v>=A4*10000</v>
      </c>
      <c r="J16" s="148"/>
    </row>
    <row r="17" spans="1:10" x14ac:dyDescent="0.25">
      <c r="A17" s="15"/>
      <c r="B17" s="15"/>
      <c r="C17" s="15"/>
      <c r="D17" s="15"/>
      <c r="E17" s="23"/>
      <c r="F17" s="23"/>
      <c r="H17" s="67" t="str">
        <f>IF(H16="","","D5")</f>
        <v>D5</v>
      </c>
      <c r="I17" s="148" t="str">
        <f t="shared" ref="I17:I19" ca="1" si="0">IF(H17="","",_xlfn.FORMULATEXT(D5))</f>
        <v>=VLOOKUP(A5;H6:I8;2)</v>
      </c>
      <c r="J17" s="148"/>
    </row>
    <row r="18" spans="1:10" x14ac:dyDescent="0.25">
      <c r="A18" s="15"/>
      <c r="B18" s="24" t="str">
        <f>IF(B8="","Koreksi Pencatatan","")</f>
        <v>Koreksi Pencatatan</v>
      </c>
      <c r="C18" s="15"/>
      <c r="D18" s="15"/>
      <c r="E18" s="23"/>
      <c r="F18" s="23"/>
      <c r="H18" s="67" t="str">
        <f>IF(H17="","","D6")</f>
        <v>D6</v>
      </c>
      <c r="I18" s="148" t="str">
        <f t="shared" ca="1" si="0"/>
        <v>=VLOOKUP(A6;H6:I8;2)</v>
      </c>
      <c r="J18" s="148"/>
    </row>
    <row r="19" spans="1:10" x14ac:dyDescent="0.25">
      <c r="A19" s="15"/>
      <c r="B19" s="15" t="str">
        <f>IF(B8="","x","")</f>
        <v>x</v>
      </c>
      <c r="C19" s="15" t="str">
        <f>IF(B8="","Jurnal Koreksi","")</f>
        <v>Jurnal Koreksi</v>
      </c>
      <c r="D19" s="15"/>
      <c r="E19" s="23"/>
      <c r="F19" s="23"/>
      <c r="H19" s="67" t="str">
        <f>IF(H18="","","D7")</f>
        <v>D7</v>
      </c>
      <c r="I19" s="148" t="str">
        <f t="shared" ca="1" si="0"/>
        <v>=IF(D5=D6;"";VLOOKUP(SUM(H6:H8)-SUM(A5:A6);H6:I8;2))</v>
      </c>
      <c r="J19" s="148"/>
    </row>
    <row r="20" spans="1:10" x14ac:dyDescent="0.25">
      <c r="A20" s="15"/>
      <c r="B20" s="15"/>
      <c r="C20" s="92" t="str">
        <f>IF(C15="","",C10)</f>
        <v>Bank Niaga</v>
      </c>
      <c r="D20" s="15"/>
      <c r="E20" s="23">
        <f>F16</f>
        <v>15000000</v>
      </c>
      <c r="F20" s="23"/>
      <c r="H20" s="67" t="str">
        <f>IF(H19="","","B8")</f>
        <v>B8</v>
      </c>
      <c r="I20" s="148" t="str">
        <f ca="1">IF(H20="","",_xlfn.FORMULATEXT(B8))</f>
        <v>=IF(D5=D6;"Maaf isian salah, silakan ulangi!";"")</v>
      </c>
      <c r="J20" s="148"/>
    </row>
    <row r="21" spans="1:10" x14ac:dyDescent="0.25">
      <c r="A21" s="15"/>
      <c r="B21" s="15"/>
      <c r="C21" s="93" t="str">
        <f>IF(C16="","",D7)</f>
        <v>Bank Central Asia</v>
      </c>
      <c r="D21" s="15"/>
      <c r="E21" s="15"/>
      <c r="F21" s="23">
        <f>E20</f>
        <v>15000000</v>
      </c>
      <c r="H21" s="67" t="str">
        <f>IF(H20="","","B9")</f>
        <v>B9</v>
      </c>
      <c r="I21" s="148" t="str">
        <f ca="1">IF(H21="","",_xlfn.FORMULATEXT(B9))</f>
        <v>=IF(B8="";"x";"")</v>
      </c>
      <c r="J21" s="148"/>
    </row>
    <row r="22" spans="1:10" x14ac:dyDescent="0.25">
      <c r="A22" s="15"/>
      <c r="B22" s="15"/>
      <c r="C22" s="15"/>
      <c r="H22" s="102" t="str">
        <f>IF(H21="","","C9")</f>
        <v>C9</v>
      </c>
      <c r="I22" s="148" t="str">
        <f ca="1">IF(H22="","",_xlfn.FORMULATEXT(C9))</f>
        <v>=IF(B8="";"Jurnal yang seharusnya";"")</v>
      </c>
      <c r="J22" s="148"/>
    </row>
    <row r="23" spans="1:10" x14ac:dyDescent="0.25">
      <c r="H23" s="102" t="str">
        <f>IF(H22="","","C10")</f>
        <v>C10</v>
      </c>
      <c r="I23" s="148" t="str">
        <f t="shared" ref="I23:I24" ca="1" si="1">IF(H23="","",_xlfn.FORMULATEXT(C10))</f>
        <v>=IF(B8="";D6;"")</v>
      </c>
      <c r="J23" s="148"/>
    </row>
    <row r="24" spans="1:10" x14ac:dyDescent="0.25">
      <c r="H24" s="102" t="str">
        <f>IF(H23="","","C11")</f>
        <v>C11</v>
      </c>
      <c r="I24" s="148" t="str">
        <f t="shared" ca="1" si="1"/>
        <v>=IF(C10="";"";D5)</v>
      </c>
      <c r="J24" s="148"/>
    </row>
    <row r="25" spans="1:10" x14ac:dyDescent="0.25">
      <c r="H25" s="102" t="str">
        <f>IF(H24="","","E10")</f>
        <v>E10</v>
      </c>
      <c r="I25" s="148" t="str">
        <f ca="1">IF(H25="","",_xlfn.FORMULATEXT(E10))</f>
        <v>=IF(C9="";"";D4)</v>
      </c>
      <c r="J25" s="148"/>
    </row>
    <row r="26" spans="1:10" x14ac:dyDescent="0.25">
      <c r="H26" s="102" t="str">
        <f>IF(H25="","","E11")</f>
        <v>E11</v>
      </c>
      <c r="I26" s="148" t="str">
        <f ca="1">IF(H26="","",_xlfn.FORMULATEXT(F11))</f>
        <v>=E10</v>
      </c>
      <c r="J26" s="148"/>
    </row>
    <row r="27" spans="1:10" x14ac:dyDescent="0.25">
      <c r="H27" s="102" t="str">
        <f>IF(H26="","","B13")</f>
        <v>B13</v>
      </c>
      <c r="I27" s="148" t="str">
        <f ca="1">IF(H27="","",_xlfn.FORMULATEXT(B18))</f>
        <v>=IF(B8="";"Koreksi Pencatatan";"")</v>
      </c>
      <c r="J27" s="148"/>
    </row>
    <row r="28" spans="1:10" x14ac:dyDescent="0.25">
      <c r="H28" s="102" t="str">
        <f>IF(H27="","","B14")</f>
        <v>B14</v>
      </c>
      <c r="I28" s="148" t="str">
        <f ca="1">IF(H28="","",_xlfn.FORMULATEXT(B19))</f>
        <v>=IF(B8="";"x";"")</v>
      </c>
      <c r="J28" s="148"/>
    </row>
    <row r="29" spans="1:10" x14ac:dyDescent="0.25">
      <c r="H29" s="102" t="str">
        <f>IF(H28="","","C14")</f>
        <v>C14</v>
      </c>
      <c r="I29" s="148" t="str">
        <f ca="1">IF(H29="","",_xlfn.FORMULATEXT(C14))</f>
        <v>=IF(B8="";"Jurnal yang salah";"")</v>
      </c>
      <c r="J29" s="148"/>
    </row>
    <row r="30" spans="1:10" x14ac:dyDescent="0.25">
      <c r="H30" s="102" t="str">
        <f>IF(H29="","","C15")</f>
        <v>C15</v>
      </c>
      <c r="I30" s="148" t="str">
        <f t="shared" ref="I30:I31" ca="1" si="2">IF(H30="","",_xlfn.FORMULATEXT(C15))</f>
        <v>=IF(C14="";"";D7)</v>
      </c>
      <c r="J30" s="148"/>
    </row>
    <row r="31" spans="1:10" x14ac:dyDescent="0.25">
      <c r="H31" s="102" t="str">
        <f>IF(H30="","","C16")</f>
        <v>C16</v>
      </c>
      <c r="I31" s="148" t="str">
        <f t="shared" ca="1" si="2"/>
        <v>=IF(C15="";"";D5)</v>
      </c>
      <c r="J31" s="148"/>
    </row>
    <row r="32" spans="1:10" x14ac:dyDescent="0.25">
      <c r="H32" s="102" t="str">
        <f>IF(H31="","","E15")</f>
        <v>E15</v>
      </c>
      <c r="I32" s="148" t="str">
        <f ca="1">IF(H32="","",_xlfn.FORMULATEXT(E15))</f>
        <v>=F11</v>
      </c>
      <c r="J32" s="148"/>
    </row>
    <row r="33" spans="8:10" x14ac:dyDescent="0.25">
      <c r="H33" s="102" t="str">
        <f>IF(H32="","","F16")</f>
        <v>F16</v>
      </c>
      <c r="I33" s="148" t="str">
        <f ca="1">IF(H33="","",_xlfn.FORMULATEXT(F16))</f>
        <v>=E15</v>
      </c>
      <c r="J33" s="148"/>
    </row>
    <row r="34" spans="8:10" x14ac:dyDescent="0.25">
      <c r="H34" s="102" t="str">
        <f>IF(H33="","","B18")</f>
        <v>B18</v>
      </c>
      <c r="I34" s="148" t="str">
        <f ca="1">IF(H34="","",_xlfn.FORMULATEXT(B18))</f>
        <v>=IF(B8="";"Koreksi Pencatatan";"")</v>
      </c>
      <c r="J34" s="148"/>
    </row>
    <row r="35" spans="8:10" x14ac:dyDescent="0.25">
      <c r="H35" s="102" t="str">
        <f>IF(H34="","","B19")</f>
        <v>B19</v>
      </c>
      <c r="I35" s="148" t="str">
        <f t="shared" ref="I35" ca="1" si="3">IF(H35="","",_xlfn.FORMULATEXT(B19))</f>
        <v>=IF(B8="";"x";"")</v>
      </c>
      <c r="J35" s="148"/>
    </row>
    <row r="36" spans="8:10" x14ac:dyDescent="0.25">
      <c r="H36" s="102" t="str">
        <f>IF(H35="","","C19")</f>
        <v>C19</v>
      </c>
      <c r="I36" s="148" t="str">
        <f ca="1">IF(H36="","",_xlfn.FORMULATEXT(C19))</f>
        <v>=IF(B8="";"Jurnal Koreksi";"")</v>
      </c>
      <c r="J36" s="148"/>
    </row>
    <row r="37" spans="8:10" x14ac:dyDescent="0.25">
      <c r="H37" s="102" t="str">
        <f>IF(H36="","","C20")</f>
        <v>C20</v>
      </c>
      <c r="I37" s="148" t="str">
        <f t="shared" ref="I37:I38" ca="1" si="4">IF(H37="","",_xlfn.FORMULATEXT(C20))</f>
        <v>=IF(C15="";"";C10)</v>
      </c>
      <c r="J37" s="148"/>
    </row>
    <row r="38" spans="8:10" x14ac:dyDescent="0.25">
      <c r="H38" s="102" t="str">
        <f>IF(H37="","","C21")</f>
        <v>C21</v>
      </c>
      <c r="I38" s="148" t="str">
        <f t="shared" ca="1" si="4"/>
        <v>=IF(C16="";"";D7)</v>
      </c>
      <c r="J38" s="148"/>
    </row>
    <row r="39" spans="8:10" x14ac:dyDescent="0.25">
      <c r="H39" s="102" t="str">
        <f>IF(H38="","","E20")</f>
        <v>E20</v>
      </c>
      <c r="I39" s="148" t="str">
        <f ca="1">IF(H39="","",_xlfn.FORMULATEXT(E20))</f>
        <v>=F16</v>
      </c>
      <c r="J39" s="148"/>
    </row>
    <row r="40" spans="8:10" x14ac:dyDescent="0.25">
      <c r="H40" s="102" t="str">
        <f>IF(H39="","","E21")</f>
        <v>E21</v>
      </c>
      <c r="I40" s="148" t="str">
        <f ca="1">IF(H40="","",_xlfn.FORMULATEXT(F21))</f>
        <v>=E20</v>
      </c>
      <c r="J40" s="148"/>
    </row>
    <row r="41" spans="8:10" x14ac:dyDescent="0.25">
      <c r="H41" s="102" t="str">
        <f>IF(H40="","","H10")</f>
        <v>H10</v>
      </c>
      <c r="I41" s="148" t="str">
        <f ca="1">_xlfn.FORMULATEXT(H10)</f>
        <v>=IF(C9="";"";"Penjelasan Koreksi")</v>
      </c>
      <c r="J41" s="148"/>
    </row>
    <row r="42" spans="8:10" x14ac:dyDescent="0.25">
      <c r="H42" s="102" t="str">
        <f>IF(C16="","","H11")</f>
        <v>H11</v>
      </c>
      <c r="I42" s="152" t="str">
        <f ca="1">IF(H42="","",_xlfn.FORMULATEXT(H11))</f>
        <v>=IF(H10="";"";"Jurnal koreksi dibuat dengan mendebet akun yang seharusnya ("&amp;D6&amp;") dan mengkredit akun yang salah ("&amp;D7&amp;")")</v>
      </c>
      <c r="J42" s="152"/>
    </row>
    <row r="43" spans="8:10" x14ac:dyDescent="0.25">
      <c r="H43" s="102" t="str">
        <f>IF(C19="","","H14")</f>
        <v>H14</v>
      </c>
      <c r="I43" s="148" t="str">
        <f ca="1">_xlfn.FORMULATEXT(H14)</f>
        <v>=IF(H10="";"";"Penjelasan Formula")</v>
      </c>
      <c r="J43" s="148"/>
    </row>
    <row r="44" spans="8:10" x14ac:dyDescent="0.25">
      <c r="H44" s="102" t="str">
        <f>IF(C20="","","H15")</f>
        <v>H15</v>
      </c>
      <c r="I44" s="148" t="str">
        <f ca="1">IF(H44="","",_xlfn.FORMULATEXT(H15))</f>
        <v>=IF(H14="";"";"Sel")</v>
      </c>
      <c r="J44" s="148"/>
    </row>
    <row r="45" spans="8:10" ht="15" customHeight="1" x14ac:dyDescent="0.25">
      <c r="H45" s="102" t="str">
        <f>IF(C21="","","I15")</f>
        <v>I15</v>
      </c>
      <c r="I45" s="151" t="str">
        <f ca="1">IF(H45="","",_xlfn.FORMULATEXT(I15))</f>
        <v>=IF(H15="";"";"Formula")</v>
      </c>
      <c r="J45" s="151"/>
    </row>
    <row r="46" spans="8:10" ht="19.5" customHeight="1" x14ac:dyDescent="0.25"/>
  </sheetData>
  <mergeCells count="34">
    <mergeCell ref="I42:J42"/>
    <mergeCell ref="I44:J44"/>
    <mergeCell ref="I26:J26"/>
    <mergeCell ref="I27:J27"/>
    <mergeCell ref="I45:J45"/>
    <mergeCell ref="I29:J29"/>
    <mergeCell ref="I30:J30"/>
    <mergeCell ref="I31:J31"/>
    <mergeCell ref="I32:J32"/>
    <mergeCell ref="I33:J33"/>
    <mergeCell ref="I34:J34"/>
    <mergeCell ref="I35:J35"/>
    <mergeCell ref="I36:J36"/>
    <mergeCell ref="I37:J37"/>
    <mergeCell ref="I38:J38"/>
    <mergeCell ref="I39:J39"/>
    <mergeCell ref="I40:J40"/>
    <mergeCell ref="I41:J41"/>
    <mergeCell ref="I43:J43"/>
    <mergeCell ref="D4:E4"/>
    <mergeCell ref="B8:E8"/>
    <mergeCell ref="H11:J12"/>
    <mergeCell ref="I15:J15"/>
    <mergeCell ref="I16:J16"/>
    <mergeCell ref="I28:J28"/>
    <mergeCell ref="I17:J17"/>
    <mergeCell ref="I18:J18"/>
    <mergeCell ref="I19:J19"/>
    <mergeCell ref="I20:J20"/>
    <mergeCell ref="I21:J21"/>
    <mergeCell ref="I22:J22"/>
    <mergeCell ref="I23:J23"/>
    <mergeCell ref="I24:J24"/>
    <mergeCell ref="I25:J25"/>
  </mergeCells>
  <conditionalFormatting sqref="B19">
    <cfRule type="notContainsBlanks" dxfId="56" priority="13">
      <formula>LEN(TRIM(B19))&gt;0</formula>
    </cfRule>
  </conditionalFormatting>
  <conditionalFormatting sqref="B8:E8">
    <cfRule type="notContainsBlanks" dxfId="55" priority="11">
      <formula>LEN(TRIM(B8))&gt;0</formula>
    </cfRule>
  </conditionalFormatting>
  <conditionalFormatting sqref="B14">
    <cfRule type="notContainsBlanks" dxfId="54" priority="10">
      <formula>LEN(TRIM(B14))&gt;0</formula>
    </cfRule>
  </conditionalFormatting>
  <conditionalFormatting sqref="B9">
    <cfRule type="notContainsBlanks" dxfId="53" priority="12">
      <formula>LEN(TRIM(B9))&gt;0</formula>
    </cfRule>
  </conditionalFormatting>
  <conditionalFormatting sqref="H15">
    <cfRule type="notContainsBlanks" dxfId="52" priority="9">
      <formula>LEN(TRIM(H15))&gt;0</formula>
    </cfRule>
  </conditionalFormatting>
  <conditionalFormatting sqref="I15:J15">
    <cfRule type="notContainsBlanks" dxfId="51" priority="8">
      <formula>LEN(TRIM(I15))&gt;0</formula>
    </cfRule>
  </conditionalFormatting>
  <conditionalFormatting sqref="H16:H45">
    <cfRule type="notContainsBlanks" dxfId="50" priority="7">
      <formula>LEN(TRIM(H16))&gt;0</formula>
    </cfRule>
  </conditionalFormatting>
  <conditionalFormatting sqref="I16:I39 I43:I45">
    <cfRule type="notContainsBlanks" dxfId="49" priority="6">
      <formula>LEN(TRIM(I16))&gt;0</formula>
    </cfRule>
  </conditionalFormatting>
  <conditionalFormatting sqref="H11:J12">
    <cfRule type="notContainsBlanks" dxfId="48" priority="5">
      <formula>LEN(TRIM(H11))&gt;0</formula>
    </cfRule>
  </conditionalFormatting>
  <conditionalFormatting sqref="I40:I41">
    <cfRule type="notContainsBlanks" dxfId="47" priority="3">
      <formula>LEN(TRIM(I40))&gt;0</formula>
    </cfRule>
  </conditionalFormatting>
  <conditionalFormatting sqref="I42">
    <cfRule type="notContainsBlanks" dxfId="46" priority="1">
      <formula>LEN(TRIM(I42))&gt;0</formula>
    </cfRule>
  </conditionalFormatting>
  <pageMargins left="0.7" right="0.7" top="0.75" bottom="0.75" header="0.3" footer="0.3"/>
  <pageSetup paperSize="9" orientation="portrait" horizontalDpi="4294967293" verticalDpi="0" r:id="rId1"/>
  <ignoredErrors>
    <ignoredError sqref="D7" formulaRange="1"/>
  </ignoredErrors>
  <drawing r:id="rId2"/>
  <legacyDrawing r:id="rId3"/>
  <mc:AlternateContent xmlns:mc="http://schemas.openxmlformats.org/markup-compatibility/2006">
    <mc:Choice Requires="x14">
      <controls>
        <mc:AlternateContent xmlns:mc="http://schemas.openxmlformats.org/markup-compatibility/2006">
          <mc:Choice Requires="x14">
            <control shapeId="30721" r:id="rId4" name="Scroll Bar 1">
              <controlPr defaultSize="0" autoPict="0">
                <anchor moveWithCells="1">
                  <from>
                    <xdr:col>2</xdr:col>
                    <xdr:colOff>1057275</xdr:colOff>
                    <xdr:row>5</xdr:row>
                    <xdr:rowOff>9525</xdr:rowOff>
                  </from>
                  <to>
                    <xdr:col>2</xdr:col>
                    <xdr:colOff>1543050</xdr:colOff>
                    <xdr:row>5</xdr:row>
                    <xdr:rowOff>171450</xdr:rowOff>
                  </to>
                </anchor>
              </controlPr>
            </control>
          </mc:Choice>
        </mc:AlternateContent>
        <mc:AlternateContent xmlns:mc="http://schemas.openxmlformats.org/markup-compatibility/2006">
          <mc:Choice Requires="x14">
            <control shapeId="30722" r:id="rId5" name="Scroll Bar 2">
              <controlPr defaultSize="0" autoPict="0">
                <anchor moveWithCells="1">
                  <from>
                    <xdr:col>2</xdr:col>
                    <xdr:colOff>1057275</xdr:colOff>
                    <xdr:row>4</xdr:row>
                    <xdr:rowOff>19050</xdr:rowOff>
                  </from>
                  <to>
                    <xdr:col>2</xdr:col>
                    <xdr:colOff>1543050</xdr:colOff>
                    <xdr:row>4</xdr:row>
                    <xdr:rowOff>180975</xdr:rowOff>
                  </to>
                </anchor>
              </controlPr>
            </control>
          </mc:Choice>
        </mc:AlternateContent>
        <mc:AlternateContent xmlns:mc="http://schemas.openxmlformats.org/markup-compatibility/2006">
          <mc:Choice Requires="x14">
            <control shapeId="30723" r:id="rId6" name="Scroll Bar 3">
              <controlPr defaultSize="0" autoPict="0">
                <anchor moveWithCells="1">
                  <from>
                    <xdr:col>2</xdr:col>
                    <xdr:colOff>1057275</xdr:colOff>
                    <xdr:row>3</xdr:row>
                    <xdr:rowOff>28575</xdr:rowOff>
                  </from>
                  <to>
                    <xdr:col>2</xdr:col>
                    <xdr:colOff>1543050</xdr:colOff>
                    <xdr:row>3</xdr:row>
                    <xdr:rowOff>190500</xdr:rowOff>
                  </to>
                </anchor>
              </controlPr>
            </control>
          </mc:Choice>
        </mc:AlternateContent>
      </controls>
    </mc:Choice>
  </mc:AlternateContent>
  <tableParts count="1">
    <tablePart r:id="rId7"/>
  </tablePar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
  <sheetViews>
    <sheetView showGridLines="0" topLeftCell="A13" workbookViewId="0">
      <selection activeCell="C23" sqref="C23"/>
    </sheetView>
  </sheetViews>
  <sheetFormatPr defaultRowHeight="15" x14ac:dyDescent="0.25"/>
  <cols>
    <col min="1" max="1" width="5.85546875" style="1" customWidth="1"/>
    <col min="2" max="2" width="0.7109375" style="1" customWidth="1"/>
    <col min="3" max="3" width="24.7109375" style="1" customWidth="1"/>
    <col min="4" max="4" width="9.5703125" style="1" customWidth="1"/>
    <col min="5" max="6" width="11.5703125" style="1" customWidth="1"/>
    <col min="7" max="7" width="5.85546875" style="1" customWidth="1"/>
    <col min="8" max="8" width="6.28515625" style="1" customWidth="1"/>
    <col min="9" max="9" width="17.85546875" style="1" customWidth="1"/>
    <col min="10" max="10" width="38" style="1" customWidth="1"/>
    <col min="11" max="11" width="5.85546875" style="1" customWidth="1"/>
    <col min="12" max="16384" width="9.140625" style="1"/>
  </cols>
  <sheetData>
    <row r="1" spans="1:10" ht="19.5" customHeight="1" x14ac:dyDescent="0.25"/>
    <row r="2" spans="1:10" ht="18.75" x14ac:dyDescent="0.25">
      <c r="B2" s="2" t="s">
        <v>29</v>
      </c>
    </row>
    <row r="3" spans="1:10" x14ac:dyDescent="0.25">
      <c r="B3" s="21" t="s">
        <v>25</v>
      </c>
    </row>
    <row r="4" spans="1:10" ht="16.5" customHeight="1" x14ac:dyDescent="0.25">
      <c r="A4" s="20">
        <v>1500</v>
      </c>
      <c r="B4" s="9"/>
      <c r="C4" s="10" t="s">
        <v>4</v>
      </c>
      <c r="D4" s="136">
        <f>A4*10000</f>
        <v>15000000</v>
      </c>
      <c r="E4" s="137"/>
      <c r="H4" s="30" t="s">
        <v>141</v>
      </c>
    </row>
    <row r="5" spans="1:10" ht="16.5" customHeight="1" x14ac:dyDescent="0.25">
      <c r="A5" s="20">
        <v>2</v>
      </c>
      <c r="B5" s="9"/>
      <c r="C5" s="10" t="s">
        <v>3</v>
      </c>
      <c r="D5" s="11" t="str">
        <f>VLOOKUP(A5,H6:I8,2)</f>
        <v>Bank Mandiri</v>
      </c>
      <c r="E5" s="12"/>
      <c r="H5" s="95" t="s">
        <v>56</v>
      </c>
      <c r="I5" s="97" t="s">
        <v>106</v>
      </c>
    </row>
    <row r="6" spans="1:10" ht="16.5" customHeight="1" x14ac:dyDescent="0.25">
      <c r="A6" s="20">
        <v>1</v>
      </c>
      <c r="B6" s="9"/>
      <c r="C6" s="10" t="s">
        <v>27</v>
      </c>
      <c r="D6" s="11" t="str">
        <f>VLOOKUP(A6,H6:I8,2)</f>
        <v>Bank Central Asia</v>
      </c>
      <c r="E6" s="12"/>
      <c r="H6" s="67">
        <v>1</v>
      </c>
      <c r="I6" s="96" t="s">
        <v>26</v>
      </c>
    </row>
    <row r="7" spans="1:10" ht="16.5" customHeight="1" x14ac:dyDescent="0.25">
      <c r="A7" s="20">
        <v>3</v>
      </c>
      <c r="B7" s="9"/>
      <c r="C7" s="19" t="s">
        <v>28</v>
      </c>
      <c r="D7" s="14" t="str">
        <f>IF(D5=D6,"",VLOOKUP(SUM(H6:H8)-SUM(A5:A6),H6:I8,2))</f>
        <v>Bank Niaga</v>
      </c>
      <c r="E7" s="12"/>
      <c r="H7" s="67">
        <v>2</v>
      </c>
      <c r="I7" s="96" t="s">
        <v>12</v>
      </c>
    </row>
    <row r="8" spans="1:10" ht="16.5" customHeight="1" x14ac:dyDescent="0.25">
      <c r="B8" s="146" t="str">
        <f>IF(D5=D6,"Maaf isian salah, silakan ulangi!","")</f>
        <v/>
      </c>
      <c r="C8" s="146"/>
      <c r="D8" s="146"/>
      <c r="E8" s="146"/>
      <c r="H8" s="67">
        <v>3</v>
      </c>
      <c r="I8" s="96" t="s">
        <v>13</v>
      </c>
    </row>
    <row r="9" spans="1:10" x14ac:dyDescent="0.25">
      <c r="A9" s="15"/>
      <c r="B9" s="1" t="str">
        <f>IF(B8="","x","")</f>
        <v>x</v>
      </c>
      <c r="C9" s="98" t="str">
        <f>IF(B8="","Jurnal yang seharusnya","")</f>
        <v>Jurnal yang seharusnya</v>
      </c>
      <c r="D9" s="15"/>
      <c r="E9" s="15"/>
      <c r="F9" s="15"/>
    </row>
    <row r="10" spans="1:10" x14ac:dyDescent="0.25">
      <c r="A10" s="15"/>
      <c r="B10" s="15"/>
      <c r="C10" s="92" t="str">
        <f>IF(B8="",D6,"")</f>
        <v>Bank Central Asia</v>
      </c>
      <c r="D10" s="15"/>
      <c r="E10" s="23">
        <f>IF(C9="","",D4)</f>
        <v>15000000</v>
      </c>
      <c r="F10" s="15"/>
      <c r="H10" s="22" t="str">
        <f>IF(C9="","","Penjelasan Koreksi")</f>
        <v>Penjelasan Koreksi</v>
      </c>
    </row>
    <row r="11" spans="1:10" x14ac:dyDescent="0.25">
      <c r="A11" s="15"/>
      <c r="B11" s="15"/>
      <c r="C11" s="93" t="str">
        <f>IF(C10="","",D5)</f>
        <v>Bank Mandiri</v>
      </c>
      <c r="D11" s="15"/>
      <c r="E11" s="15"/>
      <c r="F11" s="23">
        <f>E10</f>
        <v>15000000</v>
      </c>
      <c r="H11" s="150" t="str">
        <f>IF(H10="","","Jurnal koreksi dibuat dengan mendebet akun yang salah ("&amp;D7&amp;") dan mengkredit akun yang seharusnya/benar ("&amp;D5&amp;")")</f>
        <v>Jurnal koreksi dibuat dengan mendebet akun yang salah (Bank Niaga) dan mengkredit akun yang seharusnya/benar (Bank Mandiri)</v>
      </c>
      <c r="I11" s="150"/>
      <c r="J11" s="150"/>
    </row>
    <row r="12" spans="1:10" ht="17.25" customHeight="1" x14ac:dyDescent="0.25">
      <c r="A12" s="15"/>
      <c r="B12" s="15"/>
      <c r="C12" s="15"/>
      <c r="D12" s="15"/>
      <c r="E12" s="15"/>
      <c r="F12" s="15"/>
      <c r="H12" s="150"/>
      <c r="I12" s="150"/>
      <c r="J12" s="150"/>
    </row>
    <row r="13" spans="1:10" x14ac:dyDescent="0.25">
      <c r="A13" s="15"/>
      <c r="B13" s="24" t="str">
        <f>IF(B8="","Kesalahan Pencatatan Transaksi","")</f>
        <v>Kesalahan Pencatatan Transaksi</v>
      </c>
      <c r="C13" s="15"/>
      <c r="D13" s="15"/>
      <c r="E13" s="15"/>
      <c r="F13" s="15"/>
    </row>
    <row r="14" spans="1:10" x14ac:dyDescent="0.25">
      <c r="A14" s="15"/>
      <c r="B14" s="15" t="str">
        <f>IF(B8="","x","")</f>
        <v>x</v>
      </c>
      <c r="C14" s="15" t="str">
        <f>IF(B8="","Jurnal yang salah","")</f>
        <v>Jurnal yang salah</v>
      </c>
      <c r="D14" s="15"/>
      <c r="E14" s="23"/>
      <c r="F14" s="23"/>
      <c r="H14" s="22" t="str">
        <f>IF(H10="","","Penjelasan Formula")</f>
        <v>Penjelasan Formula</v>
      </c>
    </row>
    <row r="15" spans="1:10" x14ac:dyDescent="0.25">
      <c r="A15" s="15"/>
      <c r="B15" s="15"/>
      <c r="C15" s="92" t="str">
        <f>IF(C14="","",D6)</f>
        <v>Bank Central Asia</v>
      </c>
      <c r="D15" s="15"/>
      <c r="E15" s="23">
        <f>E10</f>
        <v>15000000</v>
      </c>
      <c r="F15" s="23"/>
      <c r="H15" s="67" t="str">
        <f>IF(H14="","","Sel")</f>
        <v>Sel</v>
      </c>
      <c r="I15" s="147" t="str">
        <f>IF(H15="","","Formula")</f>
        <v>Formula</v>
      </c>
      <c r="J15" s="147"/>
    </row>
    <row r="16" spans="1:10" x14ac:dyDescent="0.25">
      <c r="A16" s="15"/>
      <c r="B16" s="15"/>
      <c r="C16" s="93" t="str">
        <f>IF(C15="","",D7)</f>
        <v>Bank Niaga</v>
      </c>
      <c r="D16" s="15"/>
      <c r="E16" s="23"/>
      <c r="F16" s="23">
        <f>E15</f>
        <v>15000000</v>
      </c>
      <c r="H16" s="67" t="str">
        <f>IF(H15="","","D4")</f>
        <v>D4</v>
      </c>
      <c r="I16" s="148" t="str">
        <f ca="1">IF(H16="","",_xlfn.FORMULATEXT(D4))</f>
        <v>=A4*10000</v>
      </c>
      <c r="J16" s="148"/>
    </row>
    <row r="17" spans="1:10" x14ac:dyDescent="0.25">
      <c r="A17" s="15"/>
      <c r="B17" s="15"/>
      <c r="C17" s="15"/>
      <c r="D17" s="15"/>
      <c r="E17" s="23"/>
      <c r="F17" s="23"/>
      <c r="H17" s="67" t="str">
        <f>IF(H16="","","D5")</f>
        <v>D5</v>
      </c>
      <c r="I17" s="148" t="str">
        <f t="shared" ref="I17:I19" ca="1" si="0">IF(H17="","",_xlfn.FORMULATEXT(D5))</f>
        <v>=VLOOKUP(A5;H6:I8;2)</v>
      </c>
      <c r="J17" s="148"/>
    </row>
    <row r="18" spans="1:10" x14ac:dyDescent="0.25">
      <c r="A18" s="15"/>
      <c r="B18" s="24" t="str">
        <f>IF(B8="","Koreksi Pencatatan","")</f>
        <v>Koreksi Pencatatan</v>
      </c>
      <c r="C18" s="15"/>
      <c r="D18" s="15"/>
      <c r="E18" s="23"/>
      <c r="F18" s="23"/>
      <c r="H18" s="67" t="str">
        <f>IF(H17="","","D6")</f>
        <v>D6</v>
      </c>
      <c r="I18" s="148" t="str">
        <f t="shared" ca="1" si="0"/>
        <v>=VLOOKUP(A6;H6:I8;2)</v>
      </c>
      <c r="J18" s="148"/>
    </row>
    <row r="19" spans="1:10" x14ac:dyDescent="0.25">
      <c r="A19" s="15"/>
      <c r="B19" s="15" t="str">
        <f>IF(B8="","x","")</f>
        <v>x</v>
      </c>
      <c r="C19" s="15" t="str">
        <f>IF(B8="","Jurnal Koreksi","")</f>
        <v>Jurnal Koreksi</v>
      </c>
      <c r="D19" s="15"/>
      <c r="E19" s="23"/>
      <c r="F19" s="23"/>
      <c r="H19" s="67" t="str">
        <f>IF(H18="","","D7")</f>
        <v>D7</v>
      </c>
      <c r="I19" s="148" t="str">
        <f t="shared" ca="1" si="0"/>
        <v>=IF(D5=D6;"";VLOOKUP(SUM(H6:H8)-SUM(A5:A6);H6:I8;2))</v>
      </c>
      <c r="J19" s="148"/>
    </row>
    <row r="20" spans="1:10" x14ac:dyDescent="0.25">
      <c r="A20" s="15"/>
      <c r="B20" s="15"/>
      <c r="C20" s="92" t="str">
        <f>IF(C15="","",D7)</f>
        <v>Bank Niaga</v>
      </c>
      <c r="D20" s="15"/>
      <c r="E20" s="23">
        <f>E15</f>
        <v>15000000</v>
      </c>
      <c r="F20" s="23"/>
      <c r="H20" s="67" t="str">
        <f>IF(H19="","","B8")</f>
        <v>B8</v>
      </c>
      <c r="I20" s="148" t="str">
        <f ca="1">IF(H20="","",_xlfn.FORMULATEXT(B8))</f>
        <v>=IF(D5=D6;"Maaf isian salah, silakan ulangi!";"")</v>
      </c>
      <c r="J20" s="148"/>
    </row>
    <row r="21" spans="1:10" x14ac:dyDescent="0.25">
      <c r="A21" s="15"/>
      <c r="B21" s="15"/>
      <c r="C21" s="93" t="str">
        <f>IF(C16="","",D5)</f>
        <v>Bank Mandiri</v>
      </c>
      <c r="D21" s="15"/>
      <c r="E21" s="15"/>
      <c r="F21" s="23">
        <f>E20</f>
        <v>15000000</v>
      </c>
      <c r="H21" s="67" t="str">
        <f>IF(H20="","","B9")</f>
        <v>B9</v>
      </c>
      <c r="I21" s="148" t="str">
        <f ca="1">IF(H21="","",_xlfn.FORMULATEXT(B9))</f>
        <v>=IF(B8="";"x";"")</v>
      </c>
      <c r="J21" s="148"/>
    </row>
    <row r="22" spans="1:10" x14ac:dyDescent="0.25">
      <c r="A22" s="15"/>
      <c r="B22" s="15"/>
      <c r="C22" s="15"/>
      <c r="H22" s="67" t="str">
        <f>IF(H21="","","C9")</f>
        <v>C9</v>
      </c>
      <c r="I22" s="148" t="str">
        <f ca="1">IF(H22="","",_xlfn.FORMULATEXT(C9))</f>
        <v>=IF(B8="";"Jurnal yang seharusnya";"")</v>
      </c>
      <c r="J22" s="148"/>
    </row>
    <row r="23" spans="1:10" x14ac:dyDescent="0.25">
      <c r="H23" s="67" t="str">
        <f>IF(H22="","","C10")</f>
        <v>C10</v>
      </c>
      <c r="I23" s="148" t="str">
        <f t="shared" ref="I23:I24" ca="1" si="1">IF(H23="","",_xlfn.FORMULATEXT(C10))</f>
        <v>=IF(B8="";D6;"")</v>
      </c>
      <c r="J23" s="148"/>
    </row>
    <row r="24" spans="1:10" x14ac:dyDescent="0.25">
      <c r="H24" s="67" t="str">
        <f>IF(H23="","","C11")</f>
        <v>C11</v>
      </c>
      <c r="I24" s="148" t="str">
        <f t="shared" ca="1" si="1"/>
        <v>=IF(C10="";"";D5)</v>
      </c>
      <c r="J24" s="148"/>
    </row>
    <row r="25" spans="1:10" x14ac:dyDescent="0.25">
      <c r="H25" s="67" t="str">
        <f>IF(H24="","","E10")</f>
        <v>E10</v>
      </c>
      <c r="I25" s="148" t="str">
        <f ca="1">IF(H25="","",_xlfn.FORMULATEXT(E10))</f>
        <v>=IF(C9="";"";D4)</v>
      </c>
      <c r="J25" s="148"/>
    </row>
    <row r="26" spans="1:10" x14ac:dyDescent="0.25">
      <c r="H26" s="67" t="str">
        <f>IF(H25="","","F11")</f>
        <v>F11</v>
      </c>
      <c r="I26" s="148" t="str">
        <f ca="1">IF(H26="","",_xlfn.FORMULATEXT(F11))</f>
        <v>=E10</v>
      </c>
      <c r="J26" s="148"/>
    </row>
    <row r="27" spans="1:10" x14ac:dyDescent="0.25">
      <c r="H27" s="67" t="str">
        <f>IF(H26="","","B13")</f>
        <v>B13</v>
      </c>
      <c r="I27" s="148" t="str">
        <f ca="1">IF(H27="","",_xlfn.FORMULATEXT(B18))</f>
        <v>=IF(B8="";"Koreksi Pencatatan";"")</v>
      </c>
      <c r="J27" s="148"/>
    </row>
    <row r="28" spans="1:10" x14ac:dyDescent="0.25">
      <c r="H28" s="67" t="str">
        <f>IF(H27="","","B14")</f>
        <v>B14</v>
      </c>
      <c r="I28" s="148" t="str">
        <f ca="1">IF(H28="","",_xlfn.FORMULATEXT(B19))</f>
        <v>=IF(B8="";"x";"")</v>
      </c>
      <c r="J28" s="148"/>
    </row>
    <row r="29" spans="1:10" x14ac:dyDescent="0.25">
      <c r="H29" s="67" t="str">
        <f>IF(H28="","","C14")</f>
        <v>C14</v>
      </c>
      <c r="I29" s="148" t="str">
        <f ca="1">IF(H29="","",_xlfn.FORMULATEXT(C14))</f>
        <v>=IF(B8="";"Jurnal yang salah";"")</v>
      </c>
      <c r="J29" s="148"/>
    </row>
    <row r="30" spans="1:10" x14ac:dyDescent="0.25">
      <c r="H30" s="67" t="str">
        <f>IF(H29="","","C15")</f>
        <v>C15</v>
      </c>
      <c r="I30" s="148" t="str">
        <f t="shared" ref="I30:I31" ca="1" si="2">IF(H30="","",_xlfn.FORMULATEXT(C15))</f>
        <v>=IF(C14="";"";D6)</v>
      </c>
      <c r="J30" s="148"/>
    </row>
    <row r="31" spans="1:10" x14ac:dyDescent="0.25">
      <c r="H31" s="67" t="str">
        <f>IF(H30="","","C16")</f>
        <v>C16</v>
      </c>
      <c r="I31" s="148" t="str">
        <f t="shared" ca="1" si="2"/>
        <v>=IF(C15="";"";D7)</v>
      </c>
      <c r="J31" s="148"/>
    </row>
    <row r="32" spans="1:10" x14ac:dyDescent="0.25">
      <c r="H32" s="67" t="str">
        <f>IF(H31="","","E10")</f>
        <v>E10</v>
      </c>
      <c r="I32" s="148" t="str">
        <f ca="1">IF(H32="","",_xlfn.FORMULATEXT(E15))</f>
        <v>=E10</v>
      </c>
      <c r="J32" s="148"/>
    </row>
    <row r="33" spans="8:10" x14ac:dyDescent="0.25">
      <c r="H33" s="67" t="str">
        <f>IF(H32="","","F11")</f>
        <v>F11</v>
      </c>
      <c r="I33" s="148" t="str">
        <f ca="1">IF(H33="","",_xlfn.FORMULATEXT(F16))</f>
        <v>=E15</v>
      </c>
      <c r="J33" s="148"/>
    </row>
    <row r="34" spans="8:10" x14ac:dyDescent="0.25">
      <c r="H34" s="102" t="str">
        <f>IF(H33="","","B18")</f>
        <v>B18</v>
      </c>
      <c r="I34" s="148" t="str">
        <f ca="1">IF(H34="","",_xlfn.FORMULATEXT(B18))</f>
        <v>=IF(B8="";"Koreksi Pencatatan";"")</v>
      </c>
      <c r="J34" s="148"/>
    </row>
    <row r="35" spans="8:10" x14ac:dyDescent="0.25">
      <c r="H35" s="102" t="str">
        <f>IF(H34="","","B19")</f>
        <v>B19</v>
      </c>
      <c r="I35" s="148" t="str">
        <f t="shared" ref="I35" ca="1" si="3">IF(H35="","",_xlfn.FORMULATEXT(B19))</f>
        <v>=IF(B8="";"x";"")</v>
      </c>
      <c r="J35" s="148"/>
    </row>
    <row r="36" spans="8:10" x14ac:dyDescent="0.25">
      <c r="H36" s="102" t="str">
        <f>IF(H35="","","C19")</f>
        <v>C19</v>
      </c>
      <c r="I36" s="148" t="str">
        <f ca="1">IF(H36="","",_xlfn.FORMULATEXT(C19))</f>
        <v>=IF(B8="";"Jurnal Koreksi";"")</v>
      </c>
      <c r="J36" s="148"/>
    </row>
    <row r="37" spans="8:10" x14ac:dyDescent="0.25">
      <c r="H37" s="102" t="str">
        <f>IF(H36="","","C20")</f>
        <v>C20</v>
      </c>
      <c r="I37" s="148" t="str">
        <f ca="1">IF(H37="","",_xlfn.FORMULATEXT(C20))</f>
        <v>=IF(C15="";"";D7)</v>
      </c>
      <c r="J37" s="148"/>
    </row>
    <row r="38" spans="8:10" x14ac:dyDescent="0.25">
      <c r="H38" s="102" t="str">
        <f>IF(H37="","","C21")</f>
        <v>C21</v>
      </c>
      <c r="I38" s="148" t="str">
        <f ca="1">IF(H38="","",_xlfn.FORMULATEXT(C21))</f>
        <v>=IF(C16="";"";D5)</v>
      </c>
      <c r="J38" s="148"/>
    </row>
    <row r="39" spans="8:10" x14ac:dyDescent="0.25">
      <c r="H39" s="102" t="str">
        <f>IF(H38="","","E20")</f>
        <v>E20</v>
      </c>
      <c r="I39" s="148" t="str">
        <f ca="1">IF(H39="","",_xlfn.FORMULATEXT(E20))</f>
        <v>=E15</v>
      </c>
      <c r="J39" s="148"/>
    </row>
    <row r="40" spans="8:10" x14ac:dyDescent="0.25">
      <c r="H40" s="102" t="str">
        <f>IF(H39="","","F21")</f>
        <v>F21</v>
      </c>
      <c r="I40" s="148" t="str">
        <f ca="1">IF(H40="","",_xlfn.FORMULATEXT(F21))</f>
        <v>=E20</v>
      </c>
      <c r="J40" s="148"/>
    </row>
    <row r="41" spans="8:10" x14ac:dyDescent="0.25">
      <c r="H41" s="102" t="str">
        <f>IF(H40="","","H10")</f>
        <v>H10</v>
      </c>
      <c r="I41" s="148" t="str">
        <f ca="1">IF(H41="","",_xlfn.FORMULATEXT(H10))</f>
        <v>=IF(C9="";"";"Penjelasan Koreksi")</v>
      </c>
      <c r="J41" s="148"/>
    </row>
    <row r="42" spans="8:10" x14ac:dyDescent="0.25">
      <c r="H42" s="102" t="str">
        <f>IF(H41="","","H11")</f>
        <v>H11</v>
      </c>
      <c r="I42" s="151" t="str">
        <f ca="1">IF(H42="","",_xlfn.FORMULATEXT(H11))</f>
        <v>=IF(H10="";"";"Jurnal koreksi dibuat dengan mendebet akun yang salah ("&amp;D7&amp;") dan mengkredit akun yang seharusnya/benar ("&amp;D5&amp;")")</v>
      </c>
      <c r="J42" s="151"/>
    </row>
    <row r="43" spans="8:10" x14ac:dyDescent="0.25">
      <c r="H43" s="102" t="str">
        <f>IF(H42="","","H14")</f>
        <v>H14</v>
      </c>
      <c r="I43" s="151" t="str">
        <f ca="1">IF(H43="","",_xlfn.FORMULATEXT(H14))</f>
        <v>=IF(H10="";"";"Penjelasan Formula")</v>
      </c>
      <c r="J43" s="151"/>
    </row>
    <row r="44" spans="8:10" x14ac:dyDescent="0.25">
      <c r="H44" s="102" t="str">
        <f>IF(H43="","","H15")</f>
        <v>H15</v>
      </c>
      <c r="I44" s="151" t="str">
        <f t="shared" ref="I44" ca="1" si="4">IF(H44="","",_xlfn.FORMULATEXT(H15))</f>
        <v>=IF(H14="";"";"Sel")</v>
      </c>
      <c r="J44" s="151"/>
    </row>
    <row r="45" spans="8:10" ht="15" customHeight="1" x14ac:dyDescent="0.25">
      <c r="H45" s="102" t="str">
        <f>IF(H44="","","I15")</f>
        <v>I15</v>
      </c>
      <c r="I45" s="151" t="str">
        <f ca="1">IF(H45="","",_xlfn.FORMULATEXT(I15))</f>
        <v>=IF(H15="";"";"Formula")</v>
      </c>
      <c r="J45" s="151"/>
    </row>
    <row r="46" spans="8:10" ht="19.5" customHeight="1" x14ac:dyDescent="0.25"/>
  </sheetData>
  <mergeCells count="34">
    <mergeCell ref="I44:J44"/>
    <mergeCell ref="I45:J45"/>
    <mergeCell ref="I36:J36"/>
    <mergeCell ref="I37:J37"/>
    <mergeCell ref="I38:J38"/>
    <mergeCell ref="I39:J39"/>
    <mergeCell ref="I40:J40"/>
    <mergeCell ref="I41:J41"/>
    <mergeCell ref="I42:J42"/>
    <mergeCell ref="I43:J43"/>
    <mergeCell ref="I35:J35"/>
    <mergeCell ref="I24:J24"/>
    <mergeCell ref="I25:J25"/>
    <mergeCell ref="I26:J26"/>
    <mergeCell ref="I27:J27"/>
    <mergeCell ref="I28:J28"/>
    <mergeCell ref="I29:J29"/>
    <mergeCell ref="I30:J30"/>
    <mergeCell ref="I31:J31"/>
    <mergeCell ref="I32:J32"/>
    <mergeCell ref="I33:J33"/>
    <mergeCell ref="I34:J34"/>
    <mergeCell ref="I23:J23"/>
    <mergeCell ref="D4:E4"/>
    <mergeCell ref="B8:E8"/>
    <mergeCell ref="H11:J12"/>
    <mergeCell ref="I15:J15"/>
    <mergeCell ref="I16:J16"/>
    <mergeCell ref="I17:J17"/>
    <mergeCell ref="I18:J18"/>
    <mergeCell ref="I19:J19"/>
    <mergeCell ref="I20:J20"/>
    <mergeCell ref="I21:J21"/>
    <mergeCell ref="I22:J22"/>
  </mergeCells>
  <conditionalFormatting sqref="B19">
    <cfRule type="notContainsBlanks" dxfId="40" priority="9">
      <formula>LEN(TRIM(B19))&gt;0</formula>
    </cfRule>
  </conditionalFormatting>
  <conditionalFormatting sqref="B8:E8">
    <cfRule type="notContainsBlanks" dxfId="39" priority="7">
      <formula>LEN(TRIM(B8))&gt;0</formula>
    </cfRule>
  </conditionalFormatting>
  <conditionalFormatting sqref="B14">
    <cfRule type="notContainsBlanks" dxfId="38" priority="6">
      <formula>LEN(TRIM(B14))&gt;0</formula>
    </cfRule>
  </conditionalFormatting>
  <conditionalFormatting sqref="B9">
    <cfRule type="notContainsBlanks" dxfId="37" priority="8">
      <formula>LEN(TRIM(B9))&gt;0</formula>
    </cfRule>
  </conditionalFormatting>
  <conditionalFormatting sqref="H15">
    <cfRule type="notContainsBlanks" dxfId="36" priority="5">
      <formula>LEN(TRIM(H15))&gt;0</formula>
    </cfRule>
  </conditionalFormatting>
  <conditionalFormatting sqref="I15:J15">
    <cfRule type="notContainsBlanks" dxfId="35" priority="4">
      <formula>LEN(TRIM(I15))&gt;0</formula>
    </cfRule>
  </conditionalFormatting>
  <conditionalFormatting sqref="H16:H45">
    <cfRule type="notContainsBlanks" dxfId="34" priority="11">
      <formula>LEN(TRIM(H16))&gt;0</formula>
    </cfRule>
  </conditionalFormatting>
  <conditionalFormatting sqref="I16:I45">
    <cfRule type="notContainsBlanks" dxfId="33" priority="12">
      <formula>LEN(TRIM(I16))&gt;0</formula>
    </cfRule>
  </conditionalFormatting>
  <conditionalFormatting sqref="H11:J12">
    <cfRule type="notContainsBlanks" dxfId="32" priority="1">
      <formula>LEN(TRIM(H11))&gt;0</formula>
    </cfRule>
  </conditionalFormatting>
  <pageMargins left="0.7" right="0.7" top="0.75" bottom="0.75" header="0.3" footer="0.3"/>
  <pageSetup paperSize="9" orientation="portrait" horizontalDpi="4294967293" verticalDpi="0" r:id="rId1"/>
  <ignoredErrors>
    <ignoredError sqref="D7" formulaRange="1"/>
  </ignoredErrors>
  <drawing r:id="rId2"/>
  <legacyDrawing r:id="rId3"/>
  <mc:AlternateContent xmlns:mc="http://schemas.openxmlformats.org/markup-compatibility/2006">
    <mc:Choice Requires="x14">
      <controls>
        <mc:AlternateContent xmlns:mc="http://schemas.openxmlformats.org/markup-compatibility/2006">
          <mc:Choice Requires="x14">
            <control shapeId="31745" r:id="rId4" name="Scroll Bar 1">
              <controlPr defaultSize="0" autoPict="0">
                <anchor moveWithCells="1">
                  <from>
                    <xdr:col>2</xdr:col>
                    <xdr:colOff>1057275</xdr:colOff>
                    <xdr:row>5</xdr:row>
                    <xdr:rowOff>19050</xdr:rowOff>
                  </from>
                  <to>
                    <xdr:col>2</xdr:col>
                    <xdr:colOff>1543050</xdr:colOff>
                    <xdr:row>5</xdr:row>
                    <xdr:rowOff>180975</xdr:rowOff>
                  </to>
                </anchor>
              </controlPr>
            </control>
          </mc:Choice>
        </mc:AlternateContent>
        <mc:AlternateContent xmlns:mc="http://schemas.openxmlformats.org/markup-compatibility/2006">
          <mc:Choice Requires="x14">
            <control shapeId="31746" r:id="rId5" name="Scroll Bar 2">
              <controlPr defaultSize="0" autoPict="0">
                <anchor moveWithCells="1">
                  <from>
                    <xdr:col>2</xdr:col>
                    <xdr:colOff>1057275</xdr:colOff>
                    <xdr:row>4</xdr:row>
                    <xdr:rowOff>19050</xdr:rowOff>
                  </from>
                  <to>
                    <xdr:col>2</xdr:col>
                    <xdr:colOff>1543050</xdr:colOff>
                    <xdr:row>4</xdr:row>
                    <xdr:rowOff>180975</xdr:rowOff>
                  </to>
                </anchor>
              </controlPr>
            </control>
          </mc:Choice>
        </mc:AlternateContent>
        <mc:AlternateContent xmlns:mc="http://schemas.openxmlformats.org/markup-compatibility/2006">
          <mc:Choice Requires="x14">
            <control shapeId="31747" r:id="rId6" name="Scroll Bar 3">
              <controlPr defaultSize="0" autoPict="0">
                <anchor moveWithCells="1">
                  <from>
                    <xdr:col>2</xdr:col>
                    <xdr:colOff>1057275</xdr:colOff>
                    <xdr:row>3</xdr:row>
                    <xdr:rowOff>19050</xdr:rowOff>
                  </from>
                  <to>
                    <xdr:col>2</xdr:col>
                    <xdr:colOff>1543050</xdr:colOff>
                    <xdr:row>3</xdr:row>
                    <xdr:rowOff>180975</xdr:rowOff>
                  </to>
                </anchor>
              </controlPr>
            </control>
          </mc:Choice>
        </mc:AlternateContent>
      </controls>
    </mc:Choice>
  </mc:AlternateContent>
  <tableParts count="1">
    <tablePart r:id="rId7"/>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6"/>
  <sheetViews>
    <sheetView showGridLines="0" topLeftCell="A10" zoomScaleNormal="100" workbookViewId="0">
      <selection activeCell="E12" sqref="E12"/>
    </sheetView>
  </sheetViews>
  <sheetFormatPr defaultRowHeight="15" x14ac:dyDescent="0.25"/>
  <cols>
    <col min="1" max="1" width="5.85546875" style="1" customWidth="1"/>
    <col min="2" max="2" width="0.7109375" style="1" customWidth="1"/>
    <col min="3" max="3" width="24.7109375" style="1" customWidth="1"/>
    <col min="4" max="5" width="11.28515625" style="1" customWidth="1"/>
    <col min="6" max="6" width="5.85546875" style="1" customWidth="1"/>
    <col min="7" max="7" width="0.7109375" style="1" customWidth="1"/>
    <col min="8" max="8" width="6.140625" style="1" customWidth="1"/>
    <col min="9" max="9" width="17.7109375" style="1" customWidth="1"/>
    <col min="10" max="11" width="12.85546875" style="1" customWidth="1"/>
    <col min="12" max="12" width="23.5703125" style="1" customWidth="1"/>
    <col min="13" max="13" width="5.85546875" style="1" customWidth="1"/>
    <col min="14" max="16384" width="9.140625" style="1"/>
  </cols>
  <sheetData>
    <row r="1" spans="1:12" ht="19.5" customHeight="1" x14ac:dyDescent="0.25"/>
    <row r="2" spans="1:12" ht="18.75" x14ac:dyDescent="0.25">
      <c r="B2" s="2" t="s">
        <v>146</v>
      </c>
    </row>
    <row r="3" spans="1:12" x14ac:dyDescent="0.25">
      <c r="B3" s="21" t="s">
        <v>25</v>
      </c>
      <c r="C3" s="21"/>
    </row>
    <row r="4" spans="1:12" ht="16.5" customHeight="1" x14ac:dyDescent="0.25">
      <c r="A4" s="20">
        <v>1500</v>
      </c>
      <c r="B4" s="104"/>
      <c r="C4" s="105" t="s">
        <v>4</v>
      </c>
      <c r="D4" s="136">
        <f>A4*10000</f>
        <v>15000000</v>
      </c>
      <c r="E4" s="137"/>
      <c r="H4" s="68" t="s">
        <v>141</v>
      </c>
    </row>
    <row r="5" spans="1:12" ht="16.5" customHeight="1" x14ac:dyDescent="0.25">
      <c r="A5" s="20">
        <v>2</v>
      </c>
      <c r="B5" s="104"/>
      <c r="C5" s="105" t="s">
        <v>3</v>
      </c>
      <c r="D5" s="11" t="str">
        <f>VLOOKUP(A5,H6:I9,2)</f>
        <v>Bank Mandiri</v>
      </c>
      <c r="E5" s="12"/>
      <c r="H5" s="95" t="s">
        <v>56</v>
      </c>
      <c r="I5" s="95" t="s">
        <v>106</v>
      </c>
    </row>
    <row r="6" spans="1:12" ht="16.5" customHeight="1" x14ac:dyDescent="0.25">
      <c r="A6" s="20">
        <v>3</v>
      </c>
      <c r="B6" s="104"/>
      <c r="C6" s="106" t="s">
        <v>28</v>
      </c>
      <c r="D6" s="14" t="str">
        <f>VLOOKUP(A6,H6:I9,2)</f>
        <v>Bank Niaga</v>
      </c>
      <c r="E6" s="12"/>
      <c r="H6" s="108">
        <v>1</v>
      </c>
      <c r="I6" s="109" t="s">
        <v>26</v>
      </c>
    </row>
    <row r="7" spans="1:12" ht="16.5" customHeight="1" x14ac:dyDescent="0.25">
      <c r="A7" s="20">
        <v>1</v>
      </c>
      <c r="B7" s="104"/>
      <c r="C7" s="105" t="s">
        <v>27</v>
      </c>
      <c r="D7" s="11" t="str">
        <f>VLOOKUP(A7,H6:I9,2)</f>
        <v>Bank Central Asia</v>
      </c>
      <c r="E7" s="12"/>
      <c r="H7" s="108">
        <v>2</v>
      </c>
      <c r="I7" s="109" t="s">
        <v>12</v>
      </c>
    </row>
    <row r="8" spans="1:12" ht="16.5" customHeight="1" x14ac:dyDescent="0.25">
      <c r="A8" s="20">
        <v>2</v>
      </c>
      <c r="B8" s="104"/>
      <c r="C8" s="106" t="s">
        <v>28</v>
      </c>
      <c r="D8" s="14" t="str">
        <f>VLOOKUP(A8,H6:I9,2)</f>
        <v>Bank Mandiri</v>
      </c>
      <c r="E8" s="12"/>
      <c r="H8" s="108">
        <v>3</v>
      </c>
      <c r="I8" s="109" t="s">
        <v>13</v>
      </c>
    </row>
    <row r="9" spans="1:12" x14ac:dyDescent="0.25">
      <c r="B9" s="146" t="str">
        <f>IF(OR(D5=D6,D7=D8,D5=D7,D6=D8),"Maaf isian salah, silakan ulangi!","")</f>
        <v/>
      </c>
      <c r="C9" s="146"/>
      <c r="D9" s="146"/>
      <c r="E9" s="146"/>
      <c r="H9" s="108">
        <v>4</v>
      </c>
      <c r="I9" s="109" t="s">
        <v>30</v>
      </c>
    </row>
    <row r="10" spans="1:12" x14ac:dyDescent="0.25">
      <c r="A10" s="15"/>
      <c r="B10" s="15" t="str">
        <f>IF(B9="","x","")</f>
        <v>x</v>
      </c>
      <c r="C10" s="15" t="str">
        <f>IF(B9="","Jurnal yang seharusnya","")</f>
        <v>Jurnal yang seharusnya</v>
      </c>
      <c r="D10" s="15"/>
      <c r="E10" s="15"/>
    </row>
    <row r="11" spans="1:12" x14ac:dyDescent="0.25">
      <c r="A11" s="15"/>
      <c r="B11" s="15"/>
      <c r="C11" s="92" t="str">
        <f>IF(B9="",D7,"")</f>
        <v>Bank Central Asia</v>
      </c>
      <c r="D11" s="23">
        <f>IF(C10="","",D4)</f>
        <v>15000000</v>
      </c>
      <c r="E11" s="15"/>
      <c r="G11" s="41" t="str">
        <f>IF(C10="","","Penjelasan Koreksi")</f>
        <v>Penjelasan Koreksi</v>
      </c>
    </row>
    <row r="12" spans="1:12" ht="15" customHeight="1" x14ac:dyDescent="0.25">
      <c r="A12" s="15"/>
      <c r="B12" s="15"/>
      <c r="C12" s="93" t="str">
        <f>IF(C11="","",D5)</f>
        <v>Bank Mandiri</v>
      </c>
      <c r="D12" s="15"/>
      <c r="E12" s="23">
        <f>D11</f>
        <v>15000000</v>
      </c>
      <c r="G12" s="30" t="str">
        <f>IF(G11="","","Cara A:")</f>
        <v>Cara A:</v>
      </c>
    </row>
    <row r="13" spans="1:12" ht="15" customHeight="1" x14ac:dyDescent="0.25">
      <c r="A13" s="15"/>
      <c r="B13" s="15"/>
      <c r="C13" s="15"/>
      <c r="D13" s="15"/>
      <c r="E13" s="15"/>
      <c r="H13" s="150" t="str">
        <f>IF(G12="","","Pertama, buat jurnal pembalik dari jurnal yang salah (ubah akun posisi debet menjadi kredit dan sebaliknya), kedua, catat jurnal yang benar atau seharusnya")</f>
        <v>Pertama, buat jurnal pembalik dari jurnal yang salah (ubah akun posisi debet menjadi kredit dan sebaliknya), kedua, catat jurnal yang benar atau seharusnya</v>
      </c>
      <c r="I13" s="150"/>
      <c r="J13" s="150"/>
      <c r="K13" s="150"/>
      <c r="L13" s="150"/>
    </row>
    <row r="14" spans="1:12" x14ac:dyDescent="0.25">
      <c r="A14" s="15"/>
      <c r="B14" s="24" t="str">
        <f>IF(B9="","Kesalahan Pencatatan Transaksi","")</f>
        <v>Kesalahan Pencatatan Transaksi</v>
      </c>
      <c r="C14" s="15"/>
      <c r="D14" s="15"/>
      <c r="E14" s="15"/>
      <c r="G14" s="99"/>
      <c r="H14" s="150"/>
      <c r="I14" s="150"/>
      <c r="J14" s="150"/>
      <c r="K14" s="150"/>
      <c r="L14" s="150"/>
    </row>
    <row r="15" spans="1:12" x14ac:dyDescent="0.25">
      <c r="A15" s="15"/>
      <c r="B15" s="15" t="str">
        <f>IF(B9="","x","")</f>
        <v>x</v>
      </c>
      <c r="C15" s="15" t="str">
        <f>IF(B9="","Jurnal yang salah","")</f>
        <v>Jurnal yang salah</v>
      </c>
      <c r="D15" s="15"/>
      <c r="E15" s="23"/>
    </row>
    <row r="16" spans="1:12" x14ac:dyDescent="0.25">
      <c r="A16" s="15"/>
      <c r="B16" s="15"/>
      <c r="C16" s="92" t="str">
        <f>IF(C15="","",D8)</f>
        <v>Bank Mandiri</v>
      </c>
      <c r="D16" s="23">
        <f>IF(C16="","",D11)</f>
        <v>15000000</v>
      </c>
      <c r="E16" s="23"/>
      <c r="G16" s="30" t="str">
        <f>IF(G12="","","Cara B:")</f>
        <v>Cara B:</v>
      </c>
    </row>
    <row r="17" spans="1:12" ht="15" customHeight="1" x14ac:dyDescent="0.25">
      <c r="A17" s="15"/>
      <c r="B17" s="15"/>
      <c r="C17" s="93" t="str">
        <f>IF(C16="","",D6)</f>
        <v>Bank Niaga</v>
      </c>
      <c r="D17" s="23"/>
      <c r="E17" s="23">
        <f>D16</f>
        <v>15000000</v>
      </c>
      <c r="H17" s="150" t="str">
        <f>IF(G16="","","Pada dasarnya sama seperti Cara A, hanya saja jurnal dijadikan satu (sebelumnya dibuat dua jurnal, yaitu jurnal pembalik dan jurnal yang seharusnya)")</f>
        <v>Pada dasarnya sama seperti Cara A, hanya saja jurnal dijadikan satu (sebelumnya dibuat dua jurnal, yaitu jurnal pembalik dan jurnal yang seharusnya)</v>
      </c>
      <c r="I17" s="150"/>
      <c r="J17" s="150"/>
      <c r="K17" s="150"/>
      <c r="L17" s="150"/>
    </row>
    <row r="18" spans="1:12" x14ac:dyDescent="0.25">
      <c r="A18" s="15"/>
      <c r="B18" s="15"/>
      <c r="C18" s="15"/>
      <c r="D18" s="15"/>
      <c r="E18" s="23"/>
      <c r="G18" s="99"/>
      <c r="H18" s="150"/>
      <c r="I18" s="150"/>
      <c r="J18" s="150"/>
      <c r="K18" s="150"/>
      <c r="L18" s="150"/>
    </row>
    <row r="19" spans="1:12" x14ac:dyDescent="0.25">
      <c r="A19" s="15"/>
      <c r="B19" s="15"/>
      <c r="C19" s="15"/>
      <c r="D19" s="15"/>
      <c r="E19" s="23"/>
      <c r="G19" s="110"/>
      <c r="H19" s="110"/>
      <c r="I19" s="110"/>
      <c r="J19" s="110"/>
    </row>
    <row r="20" spans="1:12" x14ac:dyDescent="0.25">
      <c r="A20" s="15"/>
      <c r="B20" s="24" t="str">
        <f>IF(B9="","Koreksi Pencatatan - Cara A","")</f>
        <v>Koreksi Pencatatan - Cara A</v>
      </c>
      <c r="C20" s="15"/>
      <c r="D20" s="15"/>
      <c r="E20" s="23"/>
      <c r="G20" s="24" t="str">
        <f>IF(B20="","","Koreksi Pencatatan - Cara B")</f>
        <v>Koreksi Pencatatan - Cara B</v>
      </c>
      <c r="H20" s="15"/>
      <c r="J20" s="15"/>
      <c r="K20" s="23"/>
    </row>
    <row r="21" spans="1:12" x14ac:dyDescent="0.25">
      <c r="A21" s="15"/>
      <c r="B21" s="15" t="str">
        <f>IF(B9="","x","")</f>
        <v>x</v>
      </c>
      <c r="C21" s="15" t="str">
        <f>IF(B9="","Jurnal Koreksi","")</f>
        <v>Jurnal Koreksi</v>
      </c>
      <c r="D21" s="15"/>
      <c r="E21" s="23"/>
      <c r="G21" s="15" t="str">
        <f>IF(G20="","","x")</f>
        <v>x</v>
      </c>
      <c r="H21" s="15" t="str">
        <f>IF(G21="","","Jurnal Koreksi")</f>
        <v>Jurnal Koreksi</v>
      </c>
      <c r="K21" s="23"/>
    </row>
    <row r="22" spans="1:12" x14ac:dyDescent="0.25">
      <c r="A22" s="15"/>
      <c r="B22" s="15"/>
      <c r="C22" s="92" t="str">
        <f>IF(C16="","",C17)</f>
        <v>Bank Niaga</v>
      </c>
      <c r="D22" s="23">
        <f>D16</f>
        <v>15000000</v>
      </c>
      <c r="E22" s="23"/>
      <c r="G22" s="15"/>
      <c r="H22" s="92" t="str">
        <f>IF(G20="","",C11)</f>
        <v>Bank Central Asia</v>
      </c>
      <c r="J22" s="23">
        <f>D22</f>
        <v>15000000</v>
      </c>
    </row>
    <row r="23" spans="1:12" x14ac:dyDescent="0.25">
      <c r="A23" s="15"/>
      <c r="B23" s="15"/>
      <c r="C23" s="93" t="str">
        <f>IF(C17="","",C16)</f>
        <v>Bank Mandiri</v>
      </c>
      <c r="D23" s="15"/>
      <c r="E23" s="23">
        <f>D22</f>
        <v>15000000</v>
      </c>
      <c r="G23" s="15"/>
      <c r="H23" s="92" t="str">
        <f>IF(H22="","",D6)</f>
        <v>Bank Niaga</v>
      </c>
      <c r="J23" s="23">
        <f>J22</f>
        <v>15000000</v>
      </c>
    </row>
    <row r="24" spans="1:12" x14ac:dyDescent="0.25">
      <c r="A24" s="15"/>
      <c r="B24" s="15"/>
      <c r="C24" s="15"/>
      <c r="D24" s="15"/>
      <c r="E24" s="15"/>
      <c r="G24" s="15"/>
      <c r="H24" s="93" t="str">
        <f>IF(G21="","",D5)</f>
        <v>Bank Mandiri</v>
      </c>
      <c r="K24" s="23">
        <f>J23</f>
        <v>15000000</v>
      </c>
    </row>
    <row r="25" spans="1:12" x14ac:dyDescent="0.25">
      <c r="A25" s="15"/>
      <c r="B25" s="15"/>
      <c r="C25" s="92" t="str">
        <f>IF(C21="","",C11)</f>
        <v>Bank Central Asia</v>
      </c>
      <c r="D25" s="23">
        <f>D22</f>
        <v>15000000</v>
      </c>
      <c r="E25" s="15"/>
      <c r="G25" s="15"/>
      <c r="H25" s="93" t="str">
        <f>IF(G21="","",D8)</f>
        <v>Bank Mandiri</v>
      </c>
      <c r="K25" s="23">
        <f>K24</f>
        <v>15000000</v>
      </c>
    </row>
    <row r="26" spans="1:12" x14ac:dyDescent="0.25">
      <c r="A26" s="15"/>
      <c r="B26" s="15"/>
      <c r="C26" s="93" t="str">
        <f>IF(C25="","",C12)</f>
        <v>Bank Mandiri</v>
      </c>
      <c r="D26" s="15"/>
      <c r="E26" s="23">
        <f>D25</f>
        <v>15000000</v>
      </c>
    </row>
    <row r="27" spans="1:12" x14ac:dyDescent="0.25">
      <c r="G27" s="30" t="str">
        <f>IF(G16="","","Penjelasan Formula")</f>
        <v>Penjelasan Formula</v>
      </c>
      <c r="H27" s="121"/>
    </row>
    <row r="28" spans="1:12" x14ac:dyDescent="0.25">
      <c r="H28" s="108" t="str">
        <f>IF(G27="","","Sel")</f>
        <v>Sel</v>
      </c>
      <c r="I28" s="147" t="str">
        <f>IF(H28="","","Formula")</f>
        <v>Formula</v>
      </c>
      <c r="J28" s="147"/>
      <c r="K28" s="147"/>
      <c r="L28" s="147"/>
    </row>
    <row r="29" spans="1:12" x14ac:dyDescent="0.25">
      <c r="H29" s="108" t="str">
        <f>IF(H28="","","D4")</f>
        <v>D4</v>
      </c>
      <c r="I29" s="148" t="str">
        <f ca="1">IF(H29="","",_xlfn.FORMULATEXT(D4))</f>
        <v>=A4*10000</v>
      </c>
      <c r="J29" s="148"/>
      <c r="K29" s="148"/>
      <c r="L29" s="148"/>
    </row>
    <row r="30" spans="1:12" x14ac:dyDescent="0.25">
      <c r="H30" s="108" t="str">
        <f>IF(H29="","","D5")</f>
        <v>D5</v>
      </c>
      <c r="I30" s="148" t="str">
        <f ca="1">IF(H30="","",_xlfn.FORMULATEXT(D5))</f>
        <v>=VLOOKUP(A5;H6:I9;2)</v>
      </c>
      <c r="J30" s="148"/>
      <c r="K30" s="148"/>
      <c r="L30" s="148"/>
    </row>
    <row r="31" spans="1:12" x14ac:dyDescent="0.25">
      <c r="H31" s="108" t="str">
        <f>IF(H30="","","D6")</f>
        <v>D6</v>
      </c>
      <c r="I31" s="148" t="str">
        <f ca="1">IF(H31="","",_xlfn.FORMULATEXT(D6))</f>
        <v>=VLOOKUP(A6;H6:I9;2)</v>
      </c>
      <c r="J31" s="148"/>
      <c r="K31" s="148"/>
      <c r="L31" s="148"/>
    </row>
    <row r="32" spans="1:12" ht="15" customHeight="1" x14ac:dyDescent="0.25">
      <c r="H32" s="108" t="str">
        <f>IF(H31="","","D7")</f>
        <v>D7</v>
      </c>
      <c r="I32" s="148" t="str">
        <f ca="1">IF(H32="","",_xlfn.FORMULATEXT(D7))</f>
        <v>=VLOOKUP(A7;H6:I9;2)</v>
      </c>
      <c r="J32" s="148"/>
      <c r="K32" s="148"/>
      <c r="L32" s="148"/>
    </row>
    <row r="33" spans="8:12" x14ac:dyDescent="0.25">
      <c r="H33" s="108" t="str">
        <f>IF(H32="","","D8")</f>
        <v>D8</v>
      </c>
      <c r="I33" s="148" t="str">
        <f ca="1">IF(H33="","",_xlfn.FORMULATEXT(D8))</f>
        <v>=VLOOKUP(A8;H6:I9;2)</v>
      </c>
      <c r="J33" s="148"/>
      <c r="K33" s="148"/>
      <c r="L33" s="148"/>
    </row>
    <row r="34" spans="8:12" x14ac:dyDescent="0.25">
      <c r="H34" s="108" t="str">
        <f>IF(H33="","","B9")</f>
        <v>B9</v>
      </c>
      <c r="I34" s="148" t="str">
        <f ca="1">IF(H34="","",_xlfn.FORMULATEXT(B9))</f>
        <v>=IF(OR(D5=D6;D7=D8;D5=D7;D6=D8);"Maaf isian salah, silakan ulangi!";"")</v>
      </c>
      <c r="J34" s="148"/>
      <c r="K34" s="148"/>
      <c r="L34" s="148"/>
    </row>
    <row r="35" spans="8:12" x14ac:dyDescent="0.25">
      <c r="H35" s="108" t="str">
        <f>IF(H34="","","B10")</f>
        <v>B10</v>
      </c>
      <c r="I35" s="148" t="str">
        <f ca="1">IF(H35="","",_xlfn.FORMULATEXT(B10))</f>
        <v>=IF(B9="";"x";"")</v>
      </c>
      <c r="J35" s="148"/>
      <c r="K35" s="148"/>
      <c r="L35" s="148"/>
    </row>
    <row r="36" spans="8:12" x14ac:dyDescent="0.25">
      <c r="H36" s="108" t="str">
        <f>IF(H35="","","C10")</f>
        <v>C10</v>
      </c>
      <c r="I36" s="148" t="str">
        <f ca="1">IF(H36="","",_xlfn.FORMULATEXT(C10))</f>
        <v>=IF(B9="";"Jurnal yang seharusnya";"")</v>
      </c>
      <c r="J36" s="148"/>
      <c r="K36" s="148"/>
      <c r="L36" s="148"/>
    </row>
    <row r="37" spans="8:12" x14ac:dyDescent="0.25">
      <c r="H37" s="108" t="str">
        <f>IF(H36="","","C11")</f>
        <v>C11</v>
      </c>
      <c r="I37" s="148" t="str">
        <f ca="1">IF(H37="","",_xlfn.FORMULATEXT(C11))</f>
        <v>=IF(B9="";D7;"")</v>
      </c>
      <c r="J37" s="148"/>
      <c r="K37" s="148"/>
      <c r="L37" s="148"/>
    </row>
    <row r="38" spans="8:12" x14ac:dyDescent="0.25">
      <c r="H38" s="108" t="str">
        <f>IF(H37="","","C12")</f>
        <v>C12</v>
      </c>
      <c r="I38" s="148" t="str">
        <f ca="1">IF(H38="","",_xlfn.FORMULATEXT(C12))</f>
        <v>=IF(C11="";"";D5)</v>
      </c>
      <c r="J38" s="148"/>
      <c r="K38" s="148"/>
      <c r="L38" s="148"/>
    </row>
    <row r="39" spans="8:12" x14ac:dyDescent="0.25">
      <c r="H39" s="108" t="str">
        <f>IF(H38="","","D11")</f>
        <v>D11</v>
      </c>
      <c r="I39" s="148" t="str">
        <f ca="1">IF(H39="","",_xlfn.FORMULATEXT(D11))</f>
        <v>=IF(C10="";"";D4)</v>
      </c>
      <c r="J39" s="148"/>
      <c r="K39" s="148"/>
      <c r="L39" s="148"/>
    </row>
    <row r="40" spans="8:12" x14ac:dyDescent="0.25">
      <c r="H40" s="108" t="str">
        <f>IF(H39="","","E12")</f>
        <v>E12</v>
      </c>
      <c r="I40" s="148" t="str">
        <f ca="1">IF(H40="","",_xlfn.FORMULATEXT(E12))</f>
        <v>=D11</v>
      </c>
      <c r="J40" s="148"/>
      <c r="K40" s="148"/>
      <c r="L40" s="148"/>
    </row>
    <row r="41" spans="8:12" x14ac:dyDescent="0.25">
      <c r="H41" s="108" t="str">
        <f>IF(H40="","","B14")</f>
        <v>B14</v>
      </c>
      <c r="I41" s="148" t="str">
        <f ca="1">IF(H41="","",_xlfn.FORMULATEXT(B14))</f>
        <v>=IF(B9="";"Kesalahan Pencatatan Transaksi";"")</v>
      </c>
      <c r="J41" s="148"/>
      <c r="K41" s="148"/>
      <c r="L41" s="148"/>
    </row>
    <row r="42" spans="8:12" x14ac:dyDescent="0.25">
      <c r="H42" s="108" t="str">
        <f>IF(H41="","","B15")</f>
        <v>B15</v>
      </c>
      <c r="I42" s="148" t="str">
        <f ca="1">IF(H42="","",_xlfn.FORMULATEXT(B15))</f>
        <v>=IF(B9="";"x";"")</v>
      </c>
      <c r="J42" s="148"/>
      <c r="K42" s="148"/>
      <c r="L42" s="148"/>
    </row>
    <row r="43" spans="8:12" x14ac:dyDescent="0.25">
      <c r="H43" s="108" t="str">
        <f>IF(H42="","","C15")</f>
        <v>C15</v>
      </c>
      <c r="I43" s="148" t="str">
        <f ca="1">IF(H43="","",_xlfn.FORMULATEXT(C15))</f>
        <v>=IF(B9="";"Jurnal yang salah";"")</v>
      </c>
      <c r="J43" s="148"/>
      <c r="K43" s="148"/>
      <c r="L43" s="148"/>
    </row>
    <row r="44" spans="8:12" x14ac:dyDescent="0.25">
      <c r="H44" s="108" t="str">
        <f>IF(H43="","","C16")</f>
        <v>C16</v>
      </c>
      <c r="I44" s="148" t="str">
        <f ca="1">IF(H44="","",_xlfn.FORMULATEXT(C16))</f>
        <v>=IF(C15="";"";D8)</v>
      </c>
      <c r="J44" s="148"/>
      <c r="K44" s="148"/>
      <c r="L44" s="148"/>
    </row>
    <row r="45" spans="8:12" x14ac:dyDescent="0.25">
      <c r="H45" s="108" t="str">
        <f>IF(H44="","","C17")</f>
        <v>C17</v>
      </c>
      <c r="I45" s="148" t="str">
        <f ca="1">IF(H45="","",_xlfn.FORMULATEXT(C17))</f>
        <v>=IF(C16="";"";D6)</v>
      </c>
      <c r="J45" s="148"/>
      <c r="K45" s="148"/>
      <c r="L45" s="148"/>
    </row>
    <row r="46" spans="8:12" x14ac:dyDescent="0.25">
      <c r="H46" s="108" t="str">
        <f>IF(H45="","","D16")</f>
        <v>D16</v>
      </c>
      <c r="I46" s="148" t="str">
        <f ca="1">IF(H46="","",_xlfn.FORMULATEXT(D16))</f>
        <v>=IF(C16="";"";D11)</v>
      </c>
      <c r="J46" s="148"/>
      <c r="K46" s="148"/>
      <c r="L46" s="148"/>
    </row>
    <row r="47" spans="8:12" x14ac:dyDescent="0.25">
      <c r="H47" s="108" t="str">
        <f>IF(H46="","","E17")</f>
        <v>E17</v>
      </c>
      <c r="I47" s="148" t="str">
        <f ca="1">IF(H47="","",_xlfn.FORMULATEXT(E17))</f>
        <v>=D16</v>
      </c>
      <c r="J47" s="148"/>
      <c r="K47" s="148"/>
      <c r="L47" s="148"/>
    </row>
    <row r="48" spans="8:12" x14ac:dyDescent="0.25">
      <c r="H48" s="108" t="str">
        <f>IF(H47="","","B20")</f>
        <v>B20</v>
      </c>
      <c r="I48" s="148" t="str">
        <f ca="1">IF(H48="","",_xlfn.FORMULATEXT(B20))</f>
        <v>=IF(B9="";"Koreksi Pencatatan - Cara A";"")</v>
      </c>
      <c r="J48" s="148"/>
      <c r="K48" s="148"/>
      <c r="L48" s="148"/>
    </row>
    <row r="49" spans="8:12" x14ac:dyDescent="0.25">
      <c r="H49" s="108" t="str">
        <f>IF(H48="","","B21")</f>
        <v>B21</v>
      </c>
      <c r="I49" s="148" t="str">
        <f ca="1">IF(H49="","",_xlfn.FORMULATEXT(B21))</f>
        <v>=IF(B9="";"x";"")</v>
      </c>
      <c r="J49" s="148"/>
      <c r="K49" s="148"/>
      <c r="L49" s="148"/>
    </row>
    <row r="50" spans="8:12" x14ac:dyDescent="0.25">
      <c r="H50" s="108" t="str">
        <f>IF(H49="","","C21")</f>
        <v>C21</v>
      </c>
      <c r="I50" s="148" t="str">
        <f ca="1">IF(H50="","",_xlfn.FORMULATEXT(C21))</f>
        <v>=IF(B9="";"Jurnal Koreksi";"")</v>
      </c>
      <c r="J50" s="148"/>
      <c r="K50" s="148"/>
      <c r="L50" s="148"/>
    </row>
    <row r="51" spans="8:12" x14ac:dyDescent="0.25">
      <c r="H51" s="108" t="str">
        <f>IF(H50="","","C22")</f>
        <v>C22</v>
      </c>
      <c r="I51" s="148" t="str">
        <f ca="1">IF(H51="","",_xlfn.FORMULATEXT(C22))</f>
        <v>=IF(C16="";"";C17)</v>
      </c>
      <c r="J51" s="148"/>
      <c r="K51" s="148"/>
      <c r="L51" s="148"/>
    </row>
    <row r="52" spans="8:12" x14ac:dyDescent="0.25">
      <c r="H52" s="108" t="str">
        <f>IF(H51="","","C23")</f>
        <v>C23</v>
      </c>
      <c r="I52" s="148" t="str">
        <f ca="1">IF(H52="","",_xlfn.FORMULATEXT(C23))</f>
        <v>=IF(C17="";"";C16)</v>
      </c>
      <c r="J52" s="148"/>
      <c r="K52" s="148"/>
      <c r="L52" s="148"/>
    </row>
    <row r="53" spans="8:12" x14ac:dyDescent="0.25">
      <c r="H53" s="108" t="str">
        <f>IF(H52="","","D22")</f>
        <v>D22</v>
      </c>
      <c r="I53" s="148" t="str">
        <f ca="1">IF(H53="","",_xlfn.FORMULATEXT(D22))</f>
        <v>=D16</v>
      </c>
      <c r="J53" s="148"/>
      <c r="K53" s="148"/>
      <c r="L53" s="148"/>
    </row>
    <row r="54" spans="8:12" x14ac:dyDescent="0.25">
      <c r="H54" s="108" t="str">
        <f>IF(H53="","","E23")</f>
        <v>E23</v>
      </c>
      <c r="I54" s="148" t="str">
        <f ca="1">IF(H54="","",_xlfn.FORMULATEXT(E23))</f>
        <v>=D22</v>
      </c>
      <c r="J54" s="148"/>
      <c r="K54" s="148"/>
      <c r="L54" s="148"/>
    </row>
    <row r="55" spans="8:12" x14ac:dyDescent="0.25">
      <c r="H55" s="108" t="str">
        <f>IF(H54="","","C25")</f>
        <v>C25</v>
      </c>
      <c r="I55" s="148" t="str">
        <f ca="1">IF(H55="","",_xlfn.FORMULATEXT(C25))</f>
        <v>=IF(C21="";"";C11)</v>
      </c>
      <c r="J55" s="148"/>
      <c r="K55" s="148"/>
      <c r="L55" s="148"/>
    </row>
    <row r="56" spans="8:12" x14ac:dyDescent="0.25">
      <c r="H56" s="108" t="str">
        <f>IF(H55="","","C26")</f>
        <v>C26</v>
      </c>
      <c r="I56" s="148" t="str">
        <f ca="1">IF(H56="","",_xlfn.FORMULATEXT(C26))</f>
        <v>=IF(C25="";"";C12)</v>
      </c>
      <c r="J56" s="148"/>
      <c r="K56" s="148"/>
      <c r="L56" s="148"/>
    </row>
    <row r="57" spans="8:12" x14ac:dyDescent="0.25">
      <c r="H57" s="108" t="str">
        <f>IF(H56="","","D25")</f>
        <v>D25</v>
      </c>
      <c r="I57" s="148" t="str">
        <f ca="1">IF(H57="","",_xlfn.FORMULATEXT(D25))</f>
        <v>=D22</v>
      </c>
      <c r="J57" s="148"/>
      <c r="K57" s="148"/>
      <c r="L57" s="148"/>
    </row>
    <row r="58" spans="8:12" x14ac:dyDescent="0.25">
      <c r="H58" s="108" t="str">
        <f>IF(H57="","","E26")</f>
        <v>E26</v>
      </c>
      <c r="I58" s="148" t="str">
        <f ca="1">IF(H58="","",_xlfn.FORMULATEXT(E26))</f>
        <v>=D25</v>
      </c>
      <c r="J58" s="148"/>
      <c r="K58" s="148"/>
      <c r="L58" s="148"/>
    </row>
    <row r="59" spans="8:12" x14ac:dyDescent="0.25">
      <c r="H59" s="108" t="str">
        <f>IF(H74="","","G11")</f>
        <v>G11</v>
      </c>
      <c r="I59" s="153" t="str">
        <f ca="1">IF(H59="","",_xlfn.FORMULATEXT(G11))</f>
        <v>=IF(C10="";"";"Penjelasan Koreksi")</v>
      </c>
      <c r="J59" s="153"/>
      <c r="K59" s="153"/>
      <c r="L59" s="153"/>
    </row>
    <row r="60" spans="8:12" x14ac:dyDescent="0.25">
      <c r="H60" s="108" t="str">
        <f>IF(H59="","","G12")</f>
        <v>G12</v>
      </c>
      <c r="I60" s="153" t="str">
        <f ca="1">IF(H60="","",_xlfn.FORMULATEXT(G12))</f>
        <v>=IF(G11="";"";"Cara A:")</v>
      </c>
      <c r="J60" s="153"/>
      <c r="K60" s="153"/>
      <c r="L60" s="153"/>
    </row>
    <row r="61" spans="8:12" ht="45" customHeight="1" x14ac:dyDescent="0.25">
      <c r="H61" s="108" t="str">
        <f>IF(H60="","","H13")</f>
        <v>H13</v>
      </c>
      <c r="I61" s="154" t="str">
        <f ca="1">IF(H61="","",_xlfn.FORMULATEXT(H13))</f>
        <v>=IF(G12="";"";"Pertama, buat jurnal pembalik dari jurnal yang salah (ubah akun posisi debet menjadi kredit dan sebaliknya), kedua, catat jurnal yang benar atau seharusnya")</v>
      </c>
      <c r="J61" s="154"/>
      <c r="K61" s="154"/>
      <c r="L61" s="154"/>
    </row>
    <row r="62" spans="8:12" x14ac:dyDescent="0.25">
      <c r="H62" s="108" t="str">
        <f>IF(H61="","","G16")</f>
        <v>G16</v>
      </c>
      <c r="I62" s="154" t="str">
        <f ca="1">IF(H62="","",_xlfn.FORMULATEXT(G16))</f>
        <v>=IF(G12="";"";"Cara B:")</v>
      </c>
      <c r="J62" s="154"/>
      <c r="K62" s="154"/>
      <c r="L62" s="154"/>
    </row>
    <row r="63" spans="8:12" ht="45" customHeight="1" x14ac:dyDescent="0.25">
      <c r="H63" s="108" t="str">
        <f>IF(H62="","","H17")</f>
        <v>H17</v>
      </c>
      <c r="I63" s="154" t="str">
        <f ca="1">IF(H63="","",_xlfn.FORMULATEXT(H17))</f>
        <v>=IF(G16="";"";"Pada dasarnya sama seperti Cara A, hanya saja jurnal dijadikan satu (sebelumnya dibuat dua jurnal, yaitu jurnal pembalik dan jurnal yang seharusnya)")</v>
      </c>
      <c r="J63" s="154"/>
      <c r="K63" s="154"/>
      <c r="L63" s="154"/>
    </row>
    <row r="64" spans="8:12" x14ac:dyDescent="0.25">
      <c r="H64" s="108" t="str">
        <f>IF(H58="","","G20")</f>
        <v>G20</v>
      </c>
      <c r="I64" s="148" t="str">
        <f ca="1">IF(H64="","",_xlfn.FORMULATEXT(G20))</f>
        <v>=IF(B20="";"";"Koreksi Pencatatan - Cara B")</v>
      </c>
      <c r="J64" s="148"/>
      <c r="K64" s="148"/>
      <c r="L64" s="148"/>
    </row>
    <row r="65" spans="8:12" x14ac:dyDescent="0.25">
      <c r="H65" s="108" t="str">
        <f>IF(H64="","","G21")</f>
        <v>G21</v>
      </c>
      <c r="I65" s="148" t="str">
        <f ca="1">IF(H65="","",_xlfn.FORMULATEXT(G21))</f>
        <v>=IF(G20="";"";"x")</v>
      </c>
      <c r="J65" s="148"/>
      <c r="K65" s="148"/>
      <c r="L65" s="148"/>
    </row>
    <row r="66" spans="8:12" x14ac:dyDescent="0.25">
      <c r="H66" s="108" t="str">
        <f>IF(H65="","","H21")</f>
        <v>H21</v>
      </c>
      <c r="I66" s="148" t="str">
        <f ca="1">IF(H66="","",_xlfn.FORMULATEXT(H21))</f>
        <v>=IF(G21="";"";"Jurnal Koreksi")</v>
      </c>
      <c r="J66" s="148"/>
      <c r="K66" s="148"/>
      <c r="L66" s="148"/>
    </row>
    <row r="67" spans="8:12" x14ac:dyDescent="0.25">
      <c r="H67" s="108" t="str">
        <f>IF(H66="","","H22")</f>
        <v>H22</v>
      </c>
      <c r="I67" s="148" t="str">
        <f ca="1">IF(H67="","",_xlfn.FORMULATEXT(H22))</f>
        <v>=IF(G20="";"";C11)</v>
      </c>
      <c r="J67" s="148"/>
      <c r="K67" s="148"/>
      <c r="L67" s="148"/>
    </row>
    <row r="68" spans="8:12" x14ac:dyDescent="0.25">
      <c r="H68" s="108" t="str">
        <f>IF(H67="","","H23")</f>
        <v>H23</v>
      </c>
      <c r="I68" s="148" t="str">
        <f ca="1">IF(H68="","",_xlfn.FORMULATEXT(H23))</f>
        <v>=IF(H22="";"";D6)</v>
      </c>
      <c r="J68" s="148"/>
      <c r="K68" s="148"/>
      <c r="L68" s="148"/>
    </row>
    <row r="69" spans="8:12" ht="15" customHeight="1" x14ac:dyDescent="0.25">
      <c r="H69" s="108" t="str">
        <f>IF(H68="","","H24")</f>
        <v>H24</v>
      </c>
      <c r="I69" s="148" t="str">
        <f ca="1">IF(H69="","",_xlfn.FORMULATEXT(H24))</f>
        <v>=IF(G21="";"";D5)</v>
      </c>
      <c r="J69" s="148"/>
      <c r="K69" s="148"/>
      <c r="L69" s="148"/>
    </row>
    <row r="70" spans="8:12" x14ac:dyDescent="0.25">
      <c r="H70" s="108" t="str">
        <f>IF(H69="","","H25")</f>
        <v>H25</v>
      </c>
      <c r="I70" s="148" t="str">
        <f ca="1">IF(H70="","",_xlfn.FORMULATEXT(H25))</f>
        <v>=IF(G21="";"";D8)</v>
      </c>
      <c r="J70" s="148"/>
      <c r="K70" s="148"/>
      <c r="L70" s="148"/>
    </row>
    <row r="71" spans="8:12" x14ac:dyDescent="0.25">
      <c r="H71" s="108" t="str">
        <f>IF(H70="","","J22")</f>
        <v>J22</v>
      </c>
      <c r="I71" s="153" t="str">
        <f ca="1">IF(H71="","",_xlfn.FORMULATEXT(J22))</f>
        <v>=D22</v>
      </c>
      <c r="J71" s="153"/>
      <c r="K71" s="153"/>
      <c r="L71" s="153"/>
    </row>
    <row r="72" spans="8:12" ht="15" customHeight="1" x14ac:dyDescent="0.25">
      <c r="H72" s="108" t="str">
        <f>IF(H71="","","J23")</f>
        <v>J23</v>
      </c>
      <c r="I72" s="153" t="str">
        <f ca="1">IF(H72="","",_xlfn.FORMULATEXT(J23))</f>
        <v>=J22</v>
      </c>
      <c r="J72" s="153"/>
      <c r="K72" s="153"/>
      <c r="L72" s="153"/>
    </row>
    <row r="73" spans="8:12" ht="15" customHeight="1" x14ac:dyDescent="0.25">
      <c r="H73" s="108" t="str">
        <f>IF(H72="","","K24")</f>
        <v>K24</v>
      </c>
      <c r="I73" s="153" t="str">
        <f ca="1">IF(H73="","",_xlfn.FORMULATEXT(K24))</f>
        <v>=J23</v>
      </c>
      <c r="J73" s="153"/>
      <c r="K73" s="153"/>
      <c r="L73" s="153"/>
    </row>
    <row r="74" spans="8:12" x14ac:dyDescent="0.25">
      <c r="H74" s="108" t="str">
        <f>IF(H73="","","K25")</f>
        <v>K25</v>
      </c>
      <c r="I74" s="153" t="str">
        <f ca="1">IF(H74="","",_xlfn.FORMULATEXT(K25))</f>
        <v>=K24</v>
      </c>
      <c r="J74" s="153"/>
      <c r="K74" s="153"/>
      <c r="L74" s="153"/>
    </row>
    <row r="75" spans="8:12" ht="19.5" customHeight="1" x14ac:dyDescent="0.25"/>
    <row r="76" spans="8:12" ht="15" customHeight="1" x14ac:dyDescent="0.25"/>
  </sheetData>
  <mergeCells count="51">
    <mergeCell ref="I38:L38"/>
    <mergeCell ref="I39:L39"/>
    <mergeCell ref="I40:L40"/>
    <mergeCell ref="I41:L41"/>
    <mergeCell ref="D4:E4"/>
    <mergeCell ref="B9:E9"/>
    <mergeCell ref="H13:L14"/>
    <mergeCell ref="I54:L54"/>
    <mergeCell ref="I55:L55"/>
    <mergeCell ref="I56:L56"/>
    <mergeCell ref="I57:L57"/>
    <mergeCell ref="I52:L52"/>
    <mergeCell ref="I53:L53"/>
    <mergeCell ref="I51:L51"/>
    <mergeCell ref="H17:L18"/>
    <mergeCell ref="I33:L33"/>
    <mergeCell ref="I34:L34"/>
    <mergeCell ref="I35:L35"/>
    <mergeCell ref="I36:L36"/>
    <mergeCell ref="I37:L37"/>
    <mergeCell ref="I28:L28"/>
    <mergeCell ref="I29:L29"/>
    <mergeCell ref="I30:L30"/>
    <mergeCell ref="I31:L31"/>
    <mergeCell ref="I32:L32"/>
    <mergeCell ref="I42:L42"/>
    <mergeCell ref="I43:L43"/>
    <mergeCell ref="I44:L44"/>
    <mergeCell ref="I45:L45"/>
    <mergeCell ref="I46:L46"/>
    <mergeCell ref="I47:L47"/>
    <mergeCell ref="I48:L48"/>
    <mergeCell ref="I49:L49"/>
    <mergeCell ref="I50:L50"/>
    <mergeCell ref="I58:L58"/>
    <mergeCell ref="I64:L64"/>
    <mergeCell ref="I65:L65"/>
    <mergeCell ref="I66:L66"/>
    <mergeCell ref="I67:L67"/>
    <mergeCell ref="I61:L61"/>
    <mergeCell ref="I62:L62"/>
    <mergeCell ref="I63:L63"/>
    <mergeCell ref="I72:L72"/>
    <mergeCell ref="I73:L73"/>
    <mergeCell ref="I74:L74"/>
    <mergeCell ref="I59:L59"/>
    <mergeCell ref="I60:L60"/>
    <mergeCell ref="I68:L68"/>
    <mergeCell ref="I69:L69"/>
    <mergeCell ref="I70:L70"/>
    <mergeCell ref="I71:L71"/>
  </mergeCells>
  <conditionalFormatting sqref="B10">
    <cfRule type="notContainsBlanks" dxfId="26" priority="10">
      <formula>LEN(TRIM(B10))&gt;0</formula>
    </cfRule>
  </conditionalFormatting>
  <conditionalFormatting sqref="B9:E9">
    <cfRule type="notContainsBlanks" dxfId="25" priority="8">
      <formula>LEN(TRIM(B9))&gt;0</formula>
    </cfRule>
  </conditionalFormatting>
  <conditionalFormatting sqref="G21">
    <cfRule type="notContainsBlanks" dxfId="24" priority="9">
      <formula>LEN(TRIM(G21))&gt;0</formula>
    </cfRule>
  </conditionalFormatting>
  <conditionalFormatting sqref="B15">
    <cfRule type="notContainsBlanks" dxfId="23" priority="7">
      <formula>LEN(TRIM(B15))&gt;0</formula>
    </cfRule>
  </conditionalFormatting>
  <conditionalFormatting sqref="B21">
    <cfRule type="notContainsBlanks" dxfId="22" priority="6">
      <formula>LEN(TRIM(B21))&gt;0</formula>
    </cfRule>
  </conditionalFormatting>
  <conditionalFormatting sqref="H29:H74">
    <cfRule type="notContainsBlanks" dxfId="21" priority="5">
      <formula>LEN(TRIM(H29))&gt;0</formula>
    </cfRule>
  </conditionalFormatting>
  <conditionalFormatting sqref="I29:I74">
    <cfRule type="notContainsBlanks" dxfId="20" priority="4">
      <formula>LEN(TRIM(I29))&gt;0</formula>
    </cfRule>
  </conditionalFormatting>
  <conditionalFormatting sqref="H28">
    <cfRule type="notContainsBlanks" dxfId="19" priority="3">
      <formula>LEN(TRIM(H28))&gt;0</formula>
    </cfRule>
  </conditionalFormatting>
  <conditionalFormatting sqref="I28">
    <cfRule type="notContainsBlanks" dxfId="18" priority="2">
      <formula>LEN(TRIM(I28))&gt;0</formula>
    </cfRule>
  </conditionalFormatting>
  <conditionalFormatting sqref="G19:J19 H13 H17 G18">
    <cfRule type="notContainsBlanks" dxfId="17" priority="1">
      <formula>LEN(TRIM(G13))&gt;0</formula>
    </cfRule>
  </conditionalFormatting>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55297" r:id="rId4" name="Scroll Bar 1">
              <controlPr defaultSize="0" autoPict="0">
                <anchor moveWithCells="1">
                  <from>
                    <xdr:col>2</xdr:col>
                    <xdr:colOff>1057275</xdr:colOff>
                    <xdr:row>6</xdr:row>
                    <xdr:rowOff>19050</xdr:rowOff>
                  </from>
                  <to>
                    <xdr:col>2</xdr:col>
                    <xdr:colOff>1543050</xdr:colOff>
                    <xdr:row>6</xdr:row>
                    <xdr:rowOff>180975</xdr:rowOff>
                  </to>
                </anchor>
              </controlPr>
            </control>
          </mc:Choice>
        </mc:AlternateContent>
        <mc:AlternateContent xmlns:mc="http://schemas.openxmlformats.org/markup-compatibility/2006">
          <mc:Choice Requires="x14">
            <control shapeId="55298" r:id="rId5" name="Scroll Bar 2">
              <controlPr defaultSize="0" autoPict="0">
                <anchor moveWithCells="1">
                  <from>
                    <xdr:col>2</xdr:col>
                    <xdr:colOff>1057275</xdr:colOff>
                    <xdr:row>4</xdr:row>
                    <xdr:rowOff>19050</xdr:rowOff>
                  </from>
                  <to>
                    <xdr:col>2</xdr:col>
                    <xdr:colOff>1543050</xdr:colOff>
                    <xdr:row>4</xdr:row>
                    <xdr:rowOff>180975</xdr:rowOff>
                  </to>
                </anchor>
              </controlPr>
            </control>
          </mc:Choice>
        </mc:AlternateContent>
        <mc:AlternateContent xmlns:mc="http://schemas.openxmlformats.org/markup-compatibility/2006">
          <mc:Choice Requires="x14">
            <control shapeId="55299" r:id="rId6" name="Scroll Bar 3">
              <controlPr defaultSize="0" autoPict="0">
                <anchor moveWithCells="1">
                  <from>
                    <xdr:col>2</xdr:col>
                    <xdr:colOff>1057275</xdr:colOff>
                    <xdr:row>3</xdr:row>
                    <xdr:rowOff>19050</xdr:rowOff>
                  </from>
                  <to>
                    <xdr:col>2</xdr:col>
                    <xdr:colOff>1543050</xdr:colOff>
                    <xdr:row>3</xdr:row>
                    <xdr:rowOff>180975</xdr:rowOff>
                  </to>
                </anchor>
              </controlPr>
            </control>
          </mc:Choice>
        </mc:AlternateContent>
        <mc:AlternateContent xmlns:mc="http://schemas.openxmlformats.org/markup-compatibility/2006">
          <mc:Choice Requires="x14">
            <control shapeId="55300" r:id="rId7" name="Scroll Bar 4">
              <controlPr defaultSize="0" autoPict="0">
                <anchor moveWithCells="1">
                  <from>
                    <xdr:col>2</xdr:col>
                    <xdr:colOff>1057275</xdr:colOff>
                    <xdr:row>7</xdr:row>
                    <xdr:rowOff>19050</xdr:rowOff>
                  </from>
                  <to>
                    <xdr:col>2</xdr:col>
                    <xdr:colOff>1543050</xdr:colOff>
                    <xdr:row>7</xdr:row>
                    <xdr:rowOff>180975</xdr:rowOff>
                  </to>
                </anchor>
              </controlPr>
            </control>
          </mc:Choice>
        </mc:AlternateContent>
        <mc:AlternateContent xmlns:mc="http://schemas.openxmlformats.org/markup-compatibility/2006">
          <mc:Choice Requires="x14">
            <control shapeId="55301" r:id="rId8" name="Scroll Bar 5">
              <controlPr defaultSize="0" autoPict="0">
                <anchor moveWithCells="1">
                  <from>
                    <xdr:col>2</xdr:col>
                    <xdr:colOff>1057275</xdr:colOff>
                    <xdr:row>5</xdr:row>
                    <xdr:rowOff>19050</xdr:rowOff>
                  </from>
                  <to>
                    <xdr:col>2</xdr:col>
                    <xdr:colOff>1543050</xdr:colOff>
                    <xdr:row>5</xdr:row>
                    <xdr:rowOff>180975</xdr:rowOff>
                  </to>
                </anchor>
              </controlPr>
            </control>
          </mc:Choice>
        </mc:AlternateContent>
      </controls>
    </mc:Choice>
  </mc:AlternateContent>
  <tableParts count="1">
    <tablePart r:id="rId9"/>
  </tablePar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1"/>
  <sheetViews>
    <sheetView showGridLines="0" tabSelected="1" zoomScaleNormal="100" workbookViewId="0">
      <selection activeCell="D5" sqref="D5:E5"/>
    </sheetView>
  </sheetViews>
  <sheetFormatPr defaultRowHeight="15" x14ac:dyDescent="0.25"/>
  <cols>
    <col min="1" max="1" width="5.85546875" style="1" customWidth="1"/>
    <col min="2" max="2" width="0.7109375" style="1" customWidth="1"/>
    <col min="3" max="3" width="24.7109375" style="1" customWidth="1"/>
    <col min="4" max="4" width="9.5703125" style="1" customWidth="1"/>
    <col min="5" max="6" width="11.5703125" style="1" customWidth="1"/>
    <col min="7" max="7" width="6.28515625" style="1" customWidth="1"/>
    <col min="8" max="8" width="0.7109375" style="1" customWidth="1"/>
    <col min="9" max="9" width="6.140625" style="1" customWidth="1"/>
    <col min="10" max="10" width="19.42578125" style="1" customWidth="1"/>
    <col min="11" max="12" width="13" style="1" customWidth="1"/>
    <col min="13" max="13" width="5.85546875" style="1" customWidth="1"/>
    <col min="14" max="16384" width="9.140625" style="1"/>
  </cols>
  <sheetData>
    <row r="1" spans="1:10" ht="19.5" customHeight="1" x14ac:dyDescent="0.25"/>
    <row r="2" spans="1:10" ht="18.75" x14ac:dyDescent="0.25">
      <c r="B2" s="2" t="s">
        <v>31</v>
      </c>
    </row>
    <row r="3" spans="1:10" x14ac:dyDescent="0.25">
      <c r="B3" s="21" t="s">
        <v>25</v>
      </c>
    </row>
    <row r="4" spans="1:10" ht="16.5" customHeight="1" x14ac:dyDescent="0.25">
      <c r="A4" s="20">
        <v>1500</v>
      </c>
      <c r="B4" s="9"/>
      <c r="C4" s="10" t="s">
        <v>4</v>
      </c>
      <c r="D4" s="136">
        <f>A4*10000</f>
        <v>15000000</v>
      </c>
      <c r="E4" s="137"/>
      <c r="I4" s="30" t="s">
        <v>141</v>
      </c>
    </row>
    <row r="5" spans="1:10" ht="16.5" customHeight="1" x14ac:dyDescent="0.25">
      <c r="A5" s="20">
        <v>2000</v>
      </c>
      <c r="B5" s="9"/>
      <c r="C5" s="19" t="s">
        <v>33</v>
      </c>
      <c r="D5" s="155">
        <f>A5*10000</f>
        <v>20000000</v>
      </c>
      <c r="E5" s="156"/>
      <c r="I5" s="95" t="s">
        <v>56</v>
      </c>
      <c r="J5" s="95" t="s">
        <v>106</v>
      </c>
    </row>
    <row r="6" spans="1:10" ht="16.5" customHeight="1" x14ac:dyDescent="0.25">
      <c r="A6" s="20">
        <v>2</v>
      </c>
      <c r="B6" s="9"/>
      <c r="C6" s="10" t="s">
        <v>3</v>
      </c>
      <c r="D6" s="11" t="str">
        <f>VLOOKUP(A6,I6:J9,2)</f>
        <v>Bank Mandiri</v>
      </c>
      <c r="E6" s="12"/>
      <c r="I6" s="71">
        <v>1</v>
      </c>
      <c r="J6" s="94" t="s">
        <v>26</v>
      </c>
    </row>
    <row r="7" spans="1:10" ht="16.5" customHeight="1" x14ac:dyDescent="0.25">
      <c r="A7" s="20">
        <v>3</v>
      </c>
      <c r="B7" s="9"/>
      <c r="C7" s="19" t="s">
        <v>28</v>
      </c>
      <c r="D7" s="14" t="str">
        <f>VLOOKUP(A7,I6:J9,2)</f>
        <v>Bank Niaga</v>
      </c>
      <c r="E7" s="12"/>
      <c r="I7" s="71">
        <v>2</v>
      </c>
      <c r="J7" s="94" t="s">
        <v>12</v>
      </c>
    </row>
    <row r="8" spans="1:10" ht="16.5" customHeight="1" x14ac:dyDescent="0.25">
      <c r="A8" s="20">
        <v>1</v>
      </c>
      <c r="B8" s="9"/>
      <c r="C8" s="10" t="s">
        <v>27</v>
      </c>
      <c r="D8" s="11" t="str">
        <f>VLOOKUP(A8,I6:J9,2)</f>
        <v>Bank Central Asia</v>
      </c>
      <c r="E8" s="12"/>
      <c r="I8" s="71">
        <v>3</v>
      </c>
      <c r="J8" s="94" t="s">
        <v>13</v>
      </c>
    </row>
    <row r="9" spans="1:10" ht="16.5" customHeight="1" x14ac:dyDescent="0.25">
      <c r="A9" s="20">
        <v>4</v>
      </c>
      <c r="B9" s="9"/>
      <c r="C9" s="19" t="s">
        <v>28</v>
      </c>
      <c r="D9" s="14" t="str">
        <f>VLOOKUP(A9,I6:J9,2)</f>
        <v>Bank Danamon</v>
      </c>
      <c r="E9" s="12"/>
      <c r="I9" s="71">
        <v>4</v>
      </c>
      <c r="J9" s="94" t="s">
        <v>30</v>
      </c>
    </row>
    <row r="10" spans="1:10" x14ac:dyDescent="0.25">
      <c r="B10" s="146" t="str">
        <f>IF(OR(D6=D7,D8=D9,D6=D8,D7=D9),"Maaf isian salah, silakan ulangi!","")</f>
        <v/>
      </c>
      <c r="C10" s="146"/>
      <c r="D10" s="146"/>
      <c r="E10" s="146"/>
    </row>
    <row r="11" spans="1:10" x14ac:dyDescent="0.25">
      <c r="B11" s="15" t="str">
        <f>IF(B10="","x","")</f>
        <v>x</v>
      </c>
      <c r="C11" s="15" t="str">
        <f>IF(B10="","Jurnal yang seharusnya","")</f>
        <v>Jurnal yang seharusnya</v>
      </c>
      <c r="D11" s="15"/>
      <c r="E11" s="15"/>
      <c r="F11" s="15"/>
      <c r="G11" s="15"/>
    </row>
    <row r="12" spans="1:10" x14ac:dyDescent="0.25">
      <c r="B12" s="15"/>
      <c r="C12" s="92" t="str">
        <f>IF(B10="",D8,"")</f>
        <v>Bank Central Asia</v>
      </c>
      <c r="D12" s="15"/>
      <c r="E12" s="23">
        <f>IF(C11="","",D4)</f>
        <v>15000000</v>
      </c>
      <c r="F12" s="15"/>
      <c r="G12" s="15"/>
    </row>
    <row r="13" spans="1:10" ht="15" customHeight="1" x14ac:dyDescent="0.25">
      <c r="B13" s="15"/>
      <c r="C13" s="93" t="str">
        <f>IF(C12="","",D6)</f>
        <v>Bank Mandiri</v>
      </c>
      <c r="D13" s="15"/>
      <c r="E13" s="15"/>
      <c r="F13" s="23">
        <f>E12</f>
        <v>15000000</v>
      </c>
      <c r="G13" s="23"/>
    </row>
    <row r="14" spans="1:10" x14ac:dyDescent="0.25">
      <c r="B14" s="15"/>
      <c r="C14" s="15"/>
      <c r="D14" s="15"/>
      <c r="E14" s="15"/>
      <c r="F14" s="15"/>
      <c r="G14" s="15"/>
    </row>
    <row r="15" spans="1:10" x14ac:dyDescent="0.25">
      <c r="A15" s="15"/>
      <c r="B15" s="24" t="str">
        <f>IF(B10="","Kesalahan Pencatatan Transaksi","")</f>
        <v>Kesalahan Pencatatan Transaksi</v>
      </c>
      <c r="C15" s="15"/>
      <c r="D15" s="15"/>
      <c r="E15" s="15"/>
      <c r="F15" s="15"/>
      <c r="G15" s="15"/>
    </row>
    <row r="16" spans="1:10" x14ac:dyDescent="0.25">
      <c r="B16" s="15" t="str">
        <f>IF(B10="","x","")</f>
        <v>x</v>
      </c>
      <c r="C16" s="15" t="str">
        <f>IF(B10="","Jurnal yang salah","")</f>
        <v>Jurnal yang salah</v>
      </c>
      <c r="D16" s="15"/>
      <c r="E16" s="23"/>
      <c r="F16" s="23"/>
      <c r="G16" s="23"/>
    </row>
    <row r="17" spans="2:12" x14ac:dyDescent="0.25">
      <c r="B17" s="15"/>
      <c r="C17" s="92" t="str">
        <f>IF(C16="","",D9)</f>
        <v>Bank Danamon</v>
      </c>
      <c r="D17" s="15"/>
      <c r="E17" s="23">
        <f>IF(C17="","",D5)</f>
        <v>20000000</v>
      </c>
      <c r="F17" s="23"/>
      <c r="G17" s="23"/>
    </row>
    <row r="18" spans="2:12" x14ac:dyDescent="0.25">
      <c r="B18" s="15"/>
      <c r="C18" s="93" t="str">
        <f>IF(C17="","",D7)</f>
        <v>Bank Niaga</v>
      </c>
      <c r="D18" s="15"/>
      <c r="E18" s="23"/>
      <c r="F18" s="23">
        <f>E17</f>
        <v>20000000</v>
      </c>
      <c r="G18" s="23"/>
    </row>
    <row r="19" spans="2:12" x14ac:dyDescent="0.25">
      <c r="B19" s="15"/>
      <c r="C19" s="15"/>
      <c r="D19" s="15"/>
      <c r="E19" s="23"/>
      <c r="F19" s="23"/>
      <c r="G19" s="23"/>
    </row>
    <row r="20" spans="2:12" x14ac:dyDescent="0.25">
      <c r="B20" s="24" t="str">
        <f>IF(B10="","Koreksi Pencatatan - Cara A","")</f>
        <v>Koreksi Pencatatan - Cara A</v>
      </c>
      <c r="C20" s="15"/>
      <c r="D20" s="15"/>
      <c r="E20" s="23"/>
      <c r="F20" s="23"/>
      <c r="G20" s="23"/>
      <c r="H20" s="24" t="str">
        <f>IF(B20="","","Koreksi Pencatatan - Cara B")</f>
        <v>Koreksi Pencatatan - Cara B</v>
      </c>
      <c r="I20" s="15"/>
      <c r="J20" s="15"/>
      <c r="K20" s="23"/>
      <c r="L20" s="23"/>
    </row>
    <row r="21" spans="2:12" x14ac:dyDescent="0.25">
      <c r="B21" s="15" t="str">
        <f>IF(B10="","x","")</f>
        <v>x</v>
      </c>
      <c r="C21" s="15" t="str">
        <f>IF(B10="","Jurnal Koreksi","")</f>
        <v>Jurnal Koreksi</v>
      </c>
      <c r="D21" s="15"/>
      <c r="E21" s="23"/>
      <c r="F21" s="23"/>
      <c r="G21" s="23"/>
      <c r="H21" s="15" t="str">
        <f>IF(H20="","","x")</f>
        <v>x</v>
      </c>
      <c r="I21" s="15" t="str">
        <f>IF(H21="","","Jurnal Koreksi")</f>
        <v>Jurnal Koreksi</v>
      </c>
      <c r="J21" s="15"/>
      <c r="K21" s="23"/>
      <c r="L21" s="23"/>
    </row>
    <row r="22" spans="2:12" x14ac:dyDescent="0.25">
      <c r="B22" s="15"/>
      <c r="C22" s="92" t="str">
        <f>IF(C17="","",C18)</f>
        <v>Bank Niaga</v>
      </c>
      <c r="D22" s="15"/>
      <c r="E22" s="23">
        <f>IF(C22="","",D5)</f>
        <v>20000000</v>
      </c>
      <c r="F22" s="23"/>
      <c r="G22" s="23"/>
      <c r="H22" s="15"/>
      <c r="I22" s="92" t="str">
        <f>IF(H20="","",C12)</f>
        <v>Bank Central Asia</v>
      </c>
      <c r="J22" s="15"/>
      <c r="K22" s="23">
        <f>IF(H21="","",D4)</f>
        <v>15000000</v>
      </c>
      <c r="L22" s="23"/>
    </row>
    <row r="23" spans="2:12" x14ac:dyDescent="0.25">
      <c r="B23" s="15"/>
      <c r="C23" s="93" t="str">
        <f>IF(C18="","",C17)</f>
        <v>Bank Danamon</v>
      </c>
      <c r="D23" s="15"/>
      <c r="E23" s="15"/>
      <c r="F23" s="23">
        <f>E22</f>
        <v>20000000</v>
      </c>
      <c r="G23" s="15"/>
      <c r="H23" s="15"/>
      <c r="I23" s="92" t="str">
        <f>IF(I22="","",D7)</f>
        <v>Bank Niaga</v>
      </c>
      <c r="J23" s="15"/>
      <c r="K23" s="23">
        <f>IF(H21="","",D5)</f>
        <v>20000000</v>
      </c>
      <c r="L23" s="23"/>
    </row>
    <row r="24" spans="2:12" x14ac:dyDescent="0.25">
      <c r="B24" s="15"/>
      <c r="C24" s="15"/>
      <c r="D24" s="15"/>
      <c r="E24" s="15"/>
      <c r="F24" s="15"/>
      <c r="G24" s="15"/>
      <c r="H24" s="15"/>
      <c r="I24" s="93" t="str">
        <f>IF(H21="","",D6)</f>
        <v>Bank Mandiri</v>
      </c>
      <c r="J24" s="15"/>
      <c r="K24" s="15"/>
      <c r="L24" s="23">
        <f>K22</f>
        <v>15000000</v>
      </c>
    </row>
    <row r="25" spans="2:12" x14ac:dyDescent="0.25">
      <c r="B25" s="15"/>
      <c r="C25" s="92" t="str">
        <f>IF(C21="","",C12)</f>
        <v>Bank Central Asia</v>
      </c>
      <c r="D25" s="15"/>
      <c r="E25" s="23">
        <f>IF(C25="","",D4)</f>
        <v>15000000</v>
      </c>
      <c r="F25" s="15"/>
      <c r="G25" s="23"/>
      <c r="H25" s="15"/>
      <c r="I25" s="93" t="str">
        <f>IF(H21="","",D9)</f>
        <v>Bank Danamon</v>
      </c>
      <c r="J25" s="15"/>
      <c r="K25" s="23"/>
      <c r="L25" s="23">
        <f>K23</f>
        <v>20000000</v>
      </c>
    </row>
    <row r="26" spans="2:12" x14ac:dyDescent="0.25">
      <c r="B26" s="15"/>
      <c r="C26" s="93" t="str">
        <f>IF(C25="","",C13)</f>
        <v>Bank Mandiri</v>
      </c>
      <c r="D26" s="15"/>
      <c r="E26" s="15"/>
      <c r="F26" s="23">
        <f>E25</f>
        <v>15000000</v>
      </c>
    </row>
    <row r="27" spans="2:12" ht="19.5" customHeight="1" x14ac:dyDescent="0.25">
      <c r="B27" s="15"/>
      <c r="C27" s="15"/>
      <c r="D27" s="15"/>
      <c r="E27" s="15"/>
      <c r="F27" s="15"/>
      <c r="G27" s="15"/>
    </row>
    <row r="28" spans="2:12" x14ac:dyDescent="0.25">
      <c r="I28" s="30" t="str">
        <f>IF(B11="","","Penjelasan Formula")</f>
        <v>Penjelasan Formula</v>
      </c>
    </row>
    <row r="29" spans="2:12" x14ac:dyDescent="0.25">
      <c r="I29" s="71" t="str">
        <f>IF(I28="","","Sel")</f>
        <v>Sel</v>
      </c>
      <c r="J29" s="147" t="str">
        <f>IF(I29="","","Formula")</f>
        <v>Formula</v>
      </c>
      <c r="K29" s="147"/>
      <c r="L29" s="147"/>
    </row>
    <row r="30" spans="2:12" x14ac:dyDescent="0.25">
      <c r="I30" s="71" t="str">
        <f>IF(I29="","","D4")</f>
        <v>D4</v>
      </c>
      <c r="J30" s="148" t="str">
        <f t="shared" ref="J30:J35" ca="1" si="0">IF(I30="","",_xlfn.FORMULATEXT(D4))</f>
        <v>=A4*10000</v>
      </c>
      <c r="K30" s="148"/>
      <c r="L30" s="148"/>
    </row>
    <row r="31" spans="2:12" x14ac:dyDescent="0.25">
      <c r="I31" s="71" t="str">
        <f>IF(I30="","","D5")</f>
        <v>D5</v>
      </c>
      <c r="J31" s="148" t="str">
        <f t="shared" ca="1" si="0"/>
        <v>=A5*10000</v>
      </c>
      <c r="K31" s="148"/>
      <c r="L31" s="148"/>
    </row>
    <row r="32" spans="2:12" x14ac:dyDescent="0.25">
      <c r="I32" s="71" t="str">
        <f>IF(I31="","","D6")</f>
        <v>D6</v>
      </c>
      <c r="J32" s="148" t="str">
        <f t="shared" ca="1" si="0"/>
        <v>=VLOOKUP(A6;I6:J9;2)</v>
      </c>
      <c r="K32" s="148"/>
      <c r="L32" s="148"/>
    </row>
    <row r="33" spans="9:12" x14ac:dyDescent="0.25">
      <c r="I33" s="71" t="str">
        <f>IF(I32="","","D7")</f>
        <v>D7</v>
      </c>
      <c r="J33" s="148" t="str">
        <f t="shared" ca="1" si="0"/>
        <v>=VLOOKUP(A7;I6:J9;2)</v>
      </c>
      <c r="K33" s="148"/>
      <c r="L33" s="148"/>
    </row>
    <row r="34" spans="9:12" ht="15" customHeight="1" x14ac:dyDescent="0.25">
      <c r="I34" s="71" t="str">
        <f>IF(I33="","","D8")</f>
        <v>D8</v>
      </c>
      <c r="J34" s="148" t="str">
        <f t="shared" ca="1" si="0"/>
        <v>=VLOOKUP(A8;I6:J9;2)</v>
      </c>
      <c r="K34" s="148"/>
      <c r="L34" s="148"/>
    </row>
    <row r="35" spans="9:12" x14ac:dyDescent="0.25">
      <c r="I35" s="71" t="str">
        <f>IF(I34="","","D9")</f>
        <v>D9</v>
      </c>
      <c r="J35" s="148" t="str">
        <f t="shared" ca="1" si="0"/>
        <v>=VLOOKUP(A9;I6:J9;2)</v>
      </c>
      <c r="K35" s="148"/>
      <c r="L35" s="148"/>
    </row>
    <row r="36" spans="9:12" ht="30" customHeight="1" x14ac:dyDescent="0.25">
      <c r="I36" s="71" t="str">
        <f>IF(I35="","","B10")</f>
        <v>B10</v>
      </c>
      <c r="J36" s="151" t="str">
        <f ca="1">IF(I36="","",_xlfn.FORMULATEXT(B10))</f>
        <v>=IF(OR(D6=D7;D8=D9;D6=D8;D7=D9);"Maaf isian salah, silakan ulangi!";"")</v>
      </c>
      <c r="K36" s="151"/>
      <c r="L36" s="151"/>
    </row>
    <row r="37" spans="9:12" x14ac:dyDescent="0.25">
      <c r="I37" s="71" t="str">
        <f>IF(I36="","","B11")</f>
        <v>B11</v>
      </c>
      <c r="J37" s="148" t="str">
        <f ca="1">IF(I37="","",_xlfn.FORMULATEXT(B11))</f>
        <v>=IF(B10="";"x";"")</v>
      </c>
      <c r="K37" s="148"/>
      <c r="L37" s="148"/>
    </row>
    <row r="38" spans="9:12" x14ac:dyDescent="0.25">
      <c r="I38" s="71" t="str">
        <f>IF(I37="","","C11")</f>
        <v>C11</v>
      </c>
      <c r="J38" s="148" t="str">
        <f ca="1">IF(I38="","",_xlfn.FORMULATEXT(C11))</f>
        <v>=IF(B10="";"Jurnal yang seharusnya";"")</v>
      </c>
      <c r="K38" s="148"/>
      <c r="L38" s="148"/>
    </row>
    <row r="39" spans="9:12" x14ac:dyDescent="0.25">
      <c r="I39" s="71" t="str">
        <f>IF(I38="","","C12")</f>
        <v>C12</v>
      </c>
      <c r="J39" s="148" t="str">
        <f ca="1">IF(I39="","",_xlfn.FORMULATEXT(C12))</f>
        <v>=IF(B10="";D8;"")</v>
      </c>
      <c r="K39" s="148"/>
      <c r="L39" s="148"/>
    </row>
    <row r="40" spans="9:12" x14ac:dyDescent="0.25">
      <c r="I40" s="71" t="str">
        <f>IF(I39="","","C13")</f>
        <v>C13</v>
      </c>
      <c r="J40" s="148" t="str">
        <f ca="1">IF(I40="","",_xlfn.FORMULATEXT(C13))</f>
        <v>=IF(C12="";"";D6)</v>
      </c>
      <c r="K40" s="148"/>
      <c r="L40" s="148"/>
    </row>
    <row r="41" spans="9:12" x14ac:dyDescent="0.25">
      <c r="I41" s="71" t="str">
        <f>IF(I40="","","E12")</f>
        <v>E12</v>
      </c>
      <c r="J41" s="148" t="str">
        <f ca="1">IF(I41="","",_xlfn.FORMULATEXT(E12))</f>
        <v>=IF(C11="";"";D4)</v>
      </c>
      <c r="K41" s="148"/>
      <c r="L41" s="148"/>
    </row>
    <row r="42" spans="9:12" x14ac:dyDescent="0.25">
      <c r="I42" s="71" t="str">
        <f>IF(I41="","","F13")</f>
        <v>F13</v>
      </c>
      <c r="J42" s="148" t="str">
        <f ca="1">IF(I42="","",_xlfn.FORMULATEXT(F13))</f>
        <v>=E12</v>
      </c>
      <c r="K42" s="148"/>
      <c r="L42" s="148"/>
    </row>
    <row r="43" spans="9:12" x14ac:dyDescent="0.25">
      <c r="I43" s="71" t="str">
        <f>IF(I42="","","B15")</f>
        <v>B15</v>
      </c>
      <c r="J43" s="148" t="str">
        <f ca="1">IF(I43="","",_xlfn.FORMULATEXT(B15))</f>
        <v>=IF(B10="";"Kesalahan Pencatatan Transaksi";"")</v>
      </c>
      <c r="K43" s="148"/>
      <c r="L43" s="148"/>
    </row>
    <row r="44" spans="9:12" x14ac:dyDescent="0.25">
      <c r="I44" s="71" t="str">
        <f>IF(I43="","","B16")</f>
        <v>B16</v>
      </c>
      <c r="J44" s="148" t="str">
        <f ca="1">IF(I44="","",_xlfn.FORMULATEXT(B16))</f>
        <v>=IF(B10="";"x";"")</v>
      </c>
      <c r="K44" s="148"/>
      <c r="L44" s="148"/>
    </row>
    <row r="45" spans="9:12" x14ac:dyDescent="0.25">
      <c r="I45" s="108" t="str">
        <f>IF(I44="","","C16")</f>
        <v>C16</v>
      </c>
      <c r="J45" s="148" t="str">
        <f ca="1">IF(I45="","",_xlfn.FORMULATEXT(C16))</f>
        <v>=IF(B10="";"Jurnal yang salah";"")</v>
      </c>
      <c r="K45" s="148"/>
      <c r="L45" s="148"/>
    </row>
    <row r="46" spans="9:12" x14ac:dyDescent="0.25">
      <c r="I46" s="108" t="str">
        <f>IF(I45="","","C17")</f>
        <v>C17</v>
      </c>
      <c r="J46" s="148" t="str">
        <f ca="1">IF(I46="","",_xlfn.FORMULATEXT(C17))</f>
        <v>=IF(C16="";"";D9)</v>
      </c>
      <c r="K46" s="148"/>
      <c r="L46" s="148"/>
    </row>
    <row r="47" spans="9:12" x14ac:dyDescent="0.25">
      <c r="I47" s="108" t="str">
        <f>IF(I46="","","C18")</f>
        <v>C18</v>
      </c>
      <c r="J47" s="148" t="str">
        <f ca="1">IF(I47="","",_xlfn.FORMULATEXT(C18))</f>
        <v>=IF(C17="";"";D7)</v>
      </c>
      <c r="K47" s="148"/>
      <c r="L47" s="148"/>
    </row>
    <row r="48" spans="9:12" x14ac:dyDescent="0.25">
      <c r="I48" s="108" t="str">
        <f>IF(I47="","","E17")</f>
        <v>E17</v>
      </c>
      <c r="J48" s="148" t="str">
        <f ca="1">IF(I48="","",_xlfn.FORMULATEXT(E17))</f>
        <v>=IF(C17="";"";D5)</v>
      </c>
      <c r="K48" s="148"/>
      <c r="L48" s="148"/>
    </row>
    <row r="49" spans="9:12" x14ac:dyDescent="0.25">
      <c r="I49" s="108" t="str">
        <f>IF(I48="","","F18")</f>
        <v>F18</v>
      </c>
      <c r="J49" s="148" t="str">
        <f ca="1">IF(I49="","",_xlfn.FORMULATEXT(F18))</f>
        <v>=E17</v>
      </c>
      <c r="K49" s="148"/>
      <c r="L49" s="148"/>
    </row>
    <row r="50" spans="9:12" x14ac:dyDescent="0.25">
      <c r="I50" s="108" t="str">
        <f>IF(I49="","","B20")</f>
        <v>B20</v>
      </c>
      <c r="J50" s="148" t="str">
        <f ca="1">IF(I50="","",_xlfn.FORMULATEXT(B20))</f>
        <v>=IF(B10="";"Koreksi Pencatatan - Cara A";"")</v>
      </c>
      <c r="K50" s="148"/>
      <c r="L50" s="148"/>
    </row>
    <row r="51" spans="9:12" x14ac:dyDescent="0.25">
      <c r="I51" s="108" t="str">
        <f>IF(I50="","","B21")</f>
        <v>B21</v>
      </c>
      <c r="J51" s="148" t="str">
        <f ca="1">IF(I51="","",_xlfn.FORMULATEXT(B21))</f>
        <v>=IF(B10="";"x";"")</v>
      </c>
      <c r="K51" s="148"/>
      <c r="L51" s="148"/>
    </row>
    <row r="52" spans="9:12" x14ac:dyDescent="0.25">
      <c r="I52" s="108" t="str">
        <f>IF(I51="","","C22")</f>
        <v>C22</v>
      </c>
      <c r="J52" s="148" t="str">
        <f ca="1">IF(I52="","",_xlfn.FORMULATEXT(C22))</f>
        <v>=IF(C17="";"";C18)</v>
      </c>
      <c r="K52" s="148"/>
      <c r="L52" s="148"/>
    </row>
    <row r="53" spans="9:12" x14ac:dyDescent="0.25">
      <c r="I53" s="108" t="str">
        <f>IF(I52="","","C23")</f>
        <v>C23</v>
      </c>
      <c r="J53" s="148" t="str">
        <f ca="1">IF(I53="","",_xlfn.FORMULATEXT(C23))</f>
        <v>=IF(C18="";"";C17)</v>
      </c>
      <c r="K53" s="148"/>
      <c r="L53" s="148"/>
    </row>
    <row r="54" spans="9:12" ht="15" customHeight="1" x14ac:dyDescent="0.25">
      <c r="I54" s="108" t="str">
        <f>IF(I53="","","C25")</f>
        <v>C25</v>
      </c>
      <c r="J54" s="148" t="str">
        <f ca="1">IF(I54="","",_xlfn.FORMULATEXT(C25))</f>
        <v>=IF(C21="";"";C12)</v>
      </c>
      <c r="K54" s="148"/>
      <c r="L54" s="148"/>
    </row>
    <row r="55" spans="9:12" x14ac:dyDescent="0.25">
      <c r="I55" s="108" t="str">
        <f>IF(I54="","","C26")</f>
        <v>C26</v>
      </c>
      <c r="J55" s="148" t="str">
        <f ca="1">IF(I55="","",_xlfn.FORMULATEXT(C26))</f>
        <v>=IF(C25="";"";C13)</v>
      </c>
      <c r="K55" s="148"/>
      <c r="L55" s="148"/>
    </row>
    <row r="56" spans="9:12" x14ac:dyDescent="0.25">
      <c r="I56" s="108" t="str">
        <f>IF(I54="","","E22")</f>
        <v>E22</v>
      </c>
      <c r="J56" s="148" t="str">
        <f ca="1">IF(I56="","",_xlfn.FORMULATEXT(E22))</f>
        <v>=IF(C22="";"";D5)</v>
      </c>
      <c r="K56" s="148"/>
      <c r="L56" s="148"/>
    </row>
    <row r="57" spans="9:12" x14ac:dyDescent="0.25">
      <c r="I57" s="108" t="str">
        <f>IF(I56="","","F23")</f>
        <v>F23</v>
      </c>
      <c r="J57" s="148" t="str">
        <f ca="1">IF(I57="","",_xlfn.FORMULATEXT(F23))</f>
        <v>=E22</v>
      </c>
      <c r="K57" s="148"/>
      <c r="L57" s="148"/>
    </row>
    <row r="58" spans="9:12" x14ac:dyDescent="0.25">
      <c r="I58" s="108" t="str">
        <f>IF(I56="","","E25")</f>
        <v>E25</v>
      </c>
      <c r="J58" s="148" t="str">
        <f ca="1">IF(I58="","",_xlfn.FORMULATEXT(E25))</f>
        <v>=IF(C25="";"";D4)</v>
      </c>
      <c r="K58" s="148"/>
      <c r="L58" s="148"/>
    </row>
    <row r="59" spans="9:12" x14ac:dyDescent="0.25">
      <c r="I59" s="108" t="str">
        <f>IF(I58="","","F26")</f>
        <v>F26</v>
      </c>
      <c r="J59" s="148" t="str">
        <f ca="1">IF(I59="","",_xlfn.FORMULATEXT(F26))</f>
        <v>=E25</v>
      </c>
      <c r="K59" s="148"/>
      <c r="L59" s="148"/>
    </row>
    <row r="60" spans="9:12" x14ac:dyDescent="0.25">
      <c r="I60" s="108" t="str">
        <f>IF(I59="","","H20")</f>
        <v>H20</v>
      </c>
      <c r="J60" s="148" t="str">
        <f ca="1">IF(I60="","",_xlfn.FORMULATEXT(H20))</f>
        <v>=IF(B20="";"";"Koreksi Pencatatan - Cara B")</v>
      </c>
      <c r="K60" s="148"/>
      <c r="L60" s="148"/>
    </row>
    <row r="61" spans="9:12" x14ac:dyDescent="0.25">
      <c r="I61" s="108" t="str">
        <f>IF(I60="","","H21")</f>
        <v>H21</v>
      </c>
      <c r="J61" s="148" t="str">
        <f ca="1">IF(I61="","",_xlfn.FORMULATEXT(H21))</f>
        <v>=IF(H20="";"";"x")</v>
      </c>
      <c r="K61" s="148"/>
      <c r="L61" s="148"/>
    </row>
    <row r="62" spans="9:12" x14ac:dyDescent="0.25">
      <c r="I62" s="108" t="str">
        <f>IF(I61="","","I21")</f>
        <v>I21</v>
      </c>
      <c r="J62" s="148" t="str">
        <f ca="1">IF(I62="","",_xlfn.FORMULATEXT(I21))</f>
        <v>=IF(H21="";"";"Jurnal Koreksi")</v>
      </c>
      <c r="K62" s="148"/>
      <c r="L62" s="148"/>
    </row>
    <row r="63" spans="9:12" x14ac:dyDescent="0.25">
      <c r="I63" s="108" t="str">
        <f>IF(I62="","","I22")</f>
        <v>I22</v>
      </c>
      <c r="J63" s="148" t="str">
        <f ca="1">IF(I63="","",_xlfn.FORMULATEXT(I22))</f>
        <v>=IF(H20="";"";C12)</v>
      </c>
      <c r="K63" s="148"/>
      <c r="L63" s="148"/>
    </row>
    <row r="64" spans="9:12" x14ac:dyDescent="0.25">
      <c r="I64" s="108" t="str">
        <f>IF(I63="","","I23")</f>
        <v>I23</v>
      </c>
      <c r="J64" s="148" t="str">
        <f ca="1">IF(I64="","",_xlfn.FORMULATEXT(I23))</f>
        <v>=IF(I22="";"";D7)</v>
      </c>
      <c r="K64" s="148"/>
      <c r="L64" s="148"/>
    </row>
    <row r="65" spans="9:12" x14ac:dyDescent="0.25">
      <c r="I65" s="108" t="str">
        <f>IF(I64="","","I24")</f>
        <v>I24</v>
      </c>
      <c r="J65" s="148" t="str">
        <f ca="1">IF(I65="","",_xlfn.FORMULATEXT(I24))</f>
        <v>=IF(H21="";"";D6)</v>
      </c>
      <c r="K65" s="148"/>
      <c r="L65" s="148"/>
    </row>
    <row r="66" spans="9:12" x14ac:dyDescent="0.25">
      <c r="I66" s="108" t="str">
        <f>IF(I65="","","I25")</f>
        <v>I25</v>
      </c>
      <c r="J66" s="148" t="str">
        <f ca="1">IF(I66="","",_xlfn.FORMULATEXT(I25))</f>
        <v>=IF(H21="";"";D9)</v>
      </c>
      <c r="K66" s="148"/>
      <c r="L66" s="148"/>
    </row>
    <row r="67" spans="9:12" x14ac:dyDescent="0.25">
      <c r="I67" s="108" t="str">
        <f>IF(I64="","","K22")</f>
        <v>K22</v>
      </c>
      <c r="J67" s="148" t="str">
        <f ca="1">IF(I67="","",_xlfn.FORMULATEXT(K22))</f>
        <v>=IF(H21="";"";D4)</v>
      </c>
      <c r="K67" s="148"/>
      <c r="L67" s="148"/>
    </row>
    <row r="68" spans="9:12" x14ac:dyDescent="0.25">
      <c r="I68" s="108" t="str">
        <f>IF(I65="","","K23")</f>
        <v>K23</v>
      </c>
      <c r="J68" s="148" t="str">
        <f ca="1">IF(I68="","",_xlfn.FORMULATEXT(K23))</f>
        <v>=IF(H21="";"";D5)</v>
      </c>
      <c r="K68" s="148"/>
      <c r="L68" s="148"/>
    </row>
    <row r="69" spans="9:12" x14ac:dyDescent="0.25">
      <c r="I69" s="108" t="str">
        <f>IF(I67="","","L24")</f>
        <v>L24</v>
      </c>
      <c r="J69" s="148" t="str">
        <f ca="1">IF(I69="","",_xlfn.FORMULATEXT(L24))</f>
        <v>=K22</v>
      </c>
      <c r="K69" s="148"/>
      <c r="L69" s="148"/>
    </row>
    <row r="70" spans="9:12" x14ac:dyDescent="0.25">
      <c r="I70" s="108" t="str">
        <f>IF(I69="","","L25")</f>
        <v>L25</v>
      </c>
      <c r="J70" s="148" t="str">
        <f ca="1">IF(I70="","",_xlfn.FORMULATEXT(L25))</f>
        <v>=K23</v>
      </c>
      <c r="K70" s="148"/>
      <c r="L70" s="148"/>
    </row>
    <row r="71" spans="9:12" ht="19.5" customHeight="1" x14ac:dyDescent="0.25"/>
  </sheetData>
  <mergeCells count="45">
    <mergeCell ref="D4:E4"/>
    <mergeCell ref="B10:E10"/>
    <mergeCell ref="D5:E5"/>
    <mergeCell ref="J30:L30"/>
    <mergeCell ref="J29:L29"/>
    <mergeCell ref="J31:L31"/>
    <mergeCell ref="J32:L32"/>
    <mergeCell ref="J33:L33"/>
    <mergeCell ref="J34:L34"/>
    <mergeCell ref="J35:L35"/>
    <mergeCell ref="J36:L36"/>
    <mergeCell ref="J37:L37"/>
    <mergeCell ref="J38:L38"/>
    <mergeCell ref="J39:L39"/>
    <mergeCell ref="J40:L40"/>
    <mergeCell ref="J41:L41"/>
    <mergeCell ref="J42:L42"/>
    <mergeCell ref="J43:L43"/>
    <mergeCell ref="J44:L44"/>
    <mergeCell ref="J45:L45"/>
    <mergeCell ref="J46:L46"/>
    <mergeCell ref="J47:L47"/>
    <mergeCell ref="J48:L48"/>
    <mergeCell ref="J50:L50"/>
    <mergeCell ref="J49:L49"/>
    <mergeCell ref="J51:L51"/>
    <mergeCell ref="J52:L52"/>
    <mergeCell ref="J53:L53"/>
    <mergeCell ref="J54:L54"/>
    <mergeCell ref="J55:L55"/>
    <mergeCell ref="J56:L56"/>
    <mergeCell ref="J57:L57"/>
    <mergeCell ref="J58:L58"/>
    <mergeCell ref="J59:L59"/>
    <mergeCell ref="J60:L60"/>
    <mergeCell ref="J61:L61"/>
    <mergeCell ref="J62:L62"/>
    <mergeCell ref="J63:L63"/>
    <mergeCell ref="J69:L69"/>
    <mergeCell ref="J70:L70"/>
    <mergeCell ref="J64:L64"/>
    <mergeCell ref="J65:L65"/>
    <mergeCell ref="J66:L66"/>
    <mergeCell ref="J67:L67"/>
    <mergeCell ref="J68:L68"/>
  </mergeCells>
  <conditionalFormatting sqref="B11">
    <cfRule type="notContainsBlanks" dxfId="11" priority="9">
      <formula>LEN(TRIM(B11))&gt;0</formula>
    </cfRule>
  </conditionalFormatting>
  <conditionalFormatting sqref="B10:E10">
    <cfRule type="notContainsBlanks" dxfId="10" priority="8">
      <formula>LEN(TRIM(B10))&gt;0</formula>
    </cfRule>
  </conditionalFormatting>
  <conditionalFormatting sqref="H21 B21">
    <cfRule type="notContainsBlanks" dxfId="9" priority="7">
      <formula>LEN(TRIM(B21))&gt;0</formula>
    </cfRule>
  </conditionalFormatting>
  <conditionalFormatting sqref="B16">
    <cfRule type="notContainsBlanks" dxfId="8" priority="6">
      <formula>LEN(TRIM(B16))&gt;0</formula>
    </cfRule>
  </conditionalFormatting>
  <conditionalFormatting sqref="I30:I70">
    <cfRule type="notContainsBlanks" dxfId="7" priority="4">
      <formula>LEN(TRIM(I30))&gt;0</formula>
    </cfRule>
  </conditionalFormatting>
  <conditionalFormatting sqref="J30:J70">
    <cfRule type="notContainsBlanks" dxfId="6" priority="3">
      <formula>LEN(TRIM(J30))&gt;0</formula>
    </cfRule>
  </conditionalFormatting>
  <conditionalFormatting sqref="I29">
    <cfRule type="notContainsBlanks" dxfId="5" priority="2">
      <formula>LEN(TRIM(I29))&gt;0</formula>
    </cfRule>
  </conditionalFormatting>
  <conditionalFormatting sqref="J29">
    <cfRule type="notContainsBlanks" dxfId="4" priority="1">
      <formula>LEN(TRIM(J29))&gt;0</formula>
    </cfRule>
  </conditionalFormatting>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Scroll Bar 1">
              <controlPr defaultSize="0" autoPict="0">
                <anchor moveWithCells="1">
                  <from>
                    <xdr:col>2</xdr:col>
                    <xdr:colOff>1057275</xdr:colOff>
                    <xdr:row>7</xdr:row>
                    <xdr:rowOff>19050</xdr:rowOff>
                  </from>
                  <to>
                    <xdr:col>2</xdr:col>
                    <xdr:colOff>1543050</xdr:colOff>
                    <xdr:row>7</xdr:row>
                    <xdr:rowOff>180975</xdr:rowOff>
                  </to>
                </anchor>
              </controlPr>
            </control>
          </mc:Choice>
        </mc:AlternateContent>
        <mc:AlternateContent xmlns:mc="http://schemas.openxmlformats.org/markup-compatibility/2006">
          <mc:Choice Requires="x14">
            <control shapeId="9218" r:id="rId5" name="Scroll Bar 2">
              <controlPr defaultSize="0" autoPict="0">
                <anchor moveWithCells="1">
                  <from>
                    <xdr:col>2</xdr:col>
                    <xdr:colOff>1057275</xdr:colOff>
                    <xdr:row>5</xdr:row>
                    <xdr:rowOff>19050</xdr:rowOff>
                  </from>
                  <to>
                    <xdr:col>2</xdr:col>
                    <xdr:colOff>1543050</xdr:colOff>
                    <xdr:row>5</xdr:row>
                    <xdr:rowOff>180975</xdr:rowOff>
                  </to>
                </anchor>
              </controlPr>
            </control>
          </mc:Choice>
        </mc:AlternateContent>
        <mc:AlternateContent xmlns:mc="http://schemas.openxmlformats.org/markup-compatibility/2006">
          <mc:Choice Requires="x14">
            <control shapeId="9219" r:id="rId6" name="Scroll Bar 3">
              <controlPr defaultSize="0" autoPict="0">
                <anchor moveWithCells="1">
                  <from>
                    <xdr:col>2</xdr:col>
                    <xdr:colOff>1057275</xdr:colOff>
                    <xdr:row>3</xdr:row>
                    <xdr:rowOff>19050</xdr:rowOff>
                  </from>
                  <to>
                    <xdr:col>2</xdr:col>
                    <xdr:colOff>1543050</xdr:colOff>
                    <xdr:row>3</xdr:row>
                    <xdr:rowOff>180975</xdr:rowOff>
                  </to>
                </anchor>
              </controlPr>
            </control>
          </mc:Choice>
        </mc:AlternateContent>
        <mc:AlternateContent xmlns:mc="http://schemas.openxmlformats.org/markup-compatibility/2006">
          <mc:Choice Requires="x14">
            <control shapeId="9220" r:id="rId7" name="Scroll Bar 4">
              <controlPr defaultSize="0" autoPict="0">
                <anchor moveWithCells="1">
                  <from>
                    <xdr:col>2</xdr:col>
                    <xdr:colOff>1057275</xdr:colOff>
                    <xdr:row>8</xdr:row>
                    <xdr:rowOff>19050</xdr:rowOff>
                  </from>
                  <to>
                    <xdr:col>2</xdr:col>
                    <xdr:colOff>1543050</xdr:colOff>
                    <xdr:row>8</xdr:row>
                    <xdr:rowOff>180975</xdr:rowOff>
                  </to>
                </anchor>
              </controlPr>
            </control>
          </mc:Choice>
        </mc:AlternateContent>
        <mc:AlternateContent xmlns:mc="http://schemas.openxmlformats.org/markup-compatibility/2006">
          <mc:Choice Requires="x14">
            <control shapeId="9221" r:id="rId8" name="Scroll Bar 5">
              <controlPr defaultSize="0" autoPict="0">
                <anchor moveWithCells="1">
                  <from>
                    <xdr:col>2</xdr:col>
                    <xdr:colOff>1057275</xdr:colOff>
                    <xdr:row>6</xdr:row>
                    <xdr:rowOff>19050</xdr:rowOff>
                  </from>
                  <to>
                    <xdr:col>2</xdr:col>
                    <xdr:colOff>1543050</xdr:colOff>
                    <xdr:row>6</xdr:row>
                    <xdr:rowOff>180975</xdr:rowOff>
                  </to>
                </anchor>
              </controlPr>
            </control>
          </mc:Choice>
        </mc:AlternateContent>
        <mc:AlternateContent xmlns:mc="http://schemas.openxmlformats.org/markup-compatibility/2006">
          <mc:Choice Requires="x14">
            <control shapeId="9222" r:id="rId9" name="Scroll Bar 6">
              <controlPr defaultSize="0" autoPict="0">
                <anchor moveWithCells="1">
                  <from>
                    <xdr:col>2</xdr:col>
                    <xdr:colOff>1057275</xdr:colOff>
                    <xdr:row>4</xdr:row>
                    <xdr:rowOff>19050</xdr:rowOff>
                  </from>
                  <to>
                    <xdr:col>2</xdr:col>
                    <xdr:colOff>1543050</xdr:colOff>
                    <xdr:row>4</xdr:row>
                    <xdr:rowOff>180975</xdr:rowOff>
                  </to>
                </anchor>
              </controlPr>
            </control>
          </mc:Choice>
        </mc:AlternateContent>
      </controls>
    </mc:Choice>
  </mc:AlternateContent>
  <tableParts count="1">
    <tablePart r:id="rId10"/>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1"/>
  <sheetViews>
    <sheetView showGridLines="0" workbookViewId="0">
      <selection activeCell="M7" sqref="M7"/>
    </sheetView>
  </sheetViews>
  <sheetFormatPr defaultRowHeight="15" x14ac:dyDescent="0.25"/>
  <cols>
    <col min="1" max="1" width="5.85546875" style="1" customWidth="1"/>
    <col min="2" max="2" width="6" style="1" customWidth="1"/>
    <col min="3" max="3" width="12.28515625" style="1" customWidth="1"/>
    <col min="4" max="4" width="23.28515625" style="1" customWidth="1"/>
    <col min="5" max="5" width="3.140625" style="1" customWidth="1"/>
    <col min="6" max="6" width="7.85546875" style="1" customWidth="1"/>
    <col min="7" max="7" width="10.7109375" style="1" customWidth="1"/>
    <col min="8" max="14" width="5.5703125" style="1" customWidth="1"/>
    <col min="15" max="15" width="3.140625" style="1" customWidth="1"/>
    <col min="16" max="16" width="6.28515625" style="1" customWidth="1"/>
    <col min="17" max="17" width="11.85546875" style="1" customWidth="1"/>
    <col min="18" max="18" width="5.85546875" style="1" customWidth="1"/>
    <col min="19" max="16384" width="9.140625" style="1"/>
  </cols>
  <sheetData>
    <row r="1" spans="1:17" ht="19.5" customHeight="1" x14ac:dyDescent="0.25"/>
    <row r="2" spans="1:17" ht="18.75" x14ac:dyDescent="0.25">
      <c r="B2" s="2" t="s">
        <v>97</v>
      </c>
    </row>
    <row r="3" spans="1:17" ht="16.5" customHeight="1" x14ac:dyDescent="0.25">
      <c r="A3" s="20">
        <v>7</v>
      </c>
      <c r="B3" s="35" t="s">
        <v>42</v>
      </c>
      <c r="C3" s="36"/>
      <c r="D3" s="34" t="str">
        <f>VLOOKUP(A3,P$4:Q$10,2)</f>
        <v>Stasiun G</v>
      </c>
      <c r="F3" s="41" t="s">
        <v>54</v>
      </c>
      <c r="G3" s="41"/>
      <c r="H3" s="122" t="s">
        <v>52</v>
      </c>
      <c r="I3" s="123"/>
      <c r="J3" s="123"/>
      <c r="K3" s="123"/>
      <c r="L3" s="123"/>
      <c r="M3" s="123"/>
      <c r="N3" s="123"/>
      <c r="P3" s="49" t="s">
        <v>56</v>
      </c>
      <c r="Q3" s="50" t="s">
        <v>79</v>
      </c>
    </row>
    <row r="4" spans="1:17" ht="16.5" customHeight="1" x14ac:dyDescent="0.25">
      <c r="A4" s="20">
        <v>4</v>
      </c>
      <c r="B4" s="37" t="s">
        <v>50</v>
      </c>
      <c r="C4" s="38"/>
      <c r="D4" s="39" t="str">
        <f>IF(A4&lt;A3,VLOOKUP(A4,P$4:Q$10,2),"salah, ulangi lagi!")</f>
        <v>Stasiun D</v>
      </c>
      <c r="H4" s="52" t="s">
        <v>35</v>
      </c>
      <c r="I4" s="29" t="s">
        <v>36</v>
      </c>
      <c r="J4" s="29" t="s">
        <v>37</v>
      </c>
      <c r="K4" s="29" t="s">
        <v>38</v>
      </c>
      <c r="L4" s="29" t="s">
        <v>39</v>
      </c>
      <c r="M4" s="29" t="s">
        <v>40</v>
      </c>
      <c r="N4" s="28" t="s">
        <v>41</v>
      </c>
      <c r="P4" s="45">
        <v>1</v>
      </c>
      <c r="Q4" s="34" t="s">
        <v>43</v>
      </c>
    </row>
    <row r="5" spans="1:17" x14ac:dyDescent="0.25">
      <c r="B5" s="124" t="s">
        <v>51</v>
      </c>
      <c r="C5" s="124"/>
      <c r="D5" s="125" t="str">
        <f>IF(A3&lt;=A4,"","naik lagi dari "&amp;VLOOKUP(A4,P4:Q10,2)&amp;" dan turun di "&amp;VLOOKUP(A3,P4:Q10,"2"))</f>
        <v>naik lagi dari Stasiun D dan turun di Stasiun G</v>
      </c>
      <c r="E5" s="26"/>
      <c r="F5" s="31" t="s">
        <v>42</v>
      </c>
      <c r="G5" s="31"/>
      <c r="H5" s="53">
        <v>1</v>
      </c>
      <c r="I5" s="54">
        <f t="shared" ref="I5:N5" si="0">IF(H5&lt;$A3,H5+1,"")</f>
        <v>2</v>
      </c>
      <c r="J5" s="54">
        <f t="shared" si="0"/>
        <v>3</v>
      </c>
      <c r="K5" s="54">
        <f t="shared" si="0"/>
        <v>4</v>
      </c>
      <c r="L5" s="54">
        <f t="shared" si="0"/>
        <v>5</v>
      </c>
      <c r="M5" s="54">
        <f t="shared" si="0"/>
        <v>6</v>
      </c>
      <c r="N5" s="54">
        <f t="shared" si="0"/>
        <v>7</v>
      </c>
      <c r="P5" s="45">
        <v>2</v>
      </c>
      <c r="Q5" s="34" t="s">
        <v>44</v>
      </c>
    </row>
    <row r="6" spans="1:17" x14ac:dyDescent="0.25">
      <c r="B6" s="124"/>
      <c r="C6" s="124"/>
      <c r="D6" s="125"/>
      <c r="E6" s="26"/>
      <c r="F6" s="31" t="s">
        <v>50</v>
      </c>
      <c r="G6" s="31"/>
      <c r="H6" s="58">
        <f>IF(A4&gt;=A3,"",1)</f>
        <v>1</v>
      </c>
      <c r="I6" s="27">
        <f>IF(H6&lt;$A4,H6+1,"")</f>
        <v>2</v>
      </c>
      <c r="J6" s="27">
        <f t="shared" ref="J6:N6" si="1">IF(I6="","",IF(I6&lt;$A4,I6+1,""))</f>
        <v>3</v>
      </c>
      <c r="K6" s="27">
        <f t="shared" si="1"/>
        <v>4</v>
      </c>
      <c r="L6" s="27" t="str">
        <f t="shared" si="1"/>
        <v/>
      </c>
      <c r="M6" s="27" t="str">
        <f>IF(L6="","",IF(L6&lt;$A4,L6+1,""))</f>
        <v/>
      </c>
      <c r="N6" s="27" t="str">
        <f t="shared" si="1"/>
        <v/>
      </c>
      <c r="P6" s="45">
        <v>3</v>
      </c>
      <c r="Q6" s="34" t="s">
        <v>45</v>
      </c>
    </row>
    <row r="7" spans="1:17" x14ac:dyDescent="0.25">
      <c r="F7" s="31" t="s">
        <v>53</v>
      </c>
      <c r="G7" s="31"/>
      <c r="H7" s="53" t="str">
        <f>IF($A4&gt;=$A3,"",IF(H6="",H5,""))</f>
        <v/>
      </c>
      <c r="I7" s="54" t="str">
        <f t="shared" ref="I7:N7" si="2">IF($A4&gt;=$A3,"",IF(I6="",I5,""))</f>
        <v/>
      </c>
      <c r="J7" s="54" t="str">
        <f t="shared" si="2"/>
        <v/>
      </c>
      <c r="K7" s="54" t="str">
        <f t="shared" si="2"/>
        <v/>
      </c>
      <c r="L7" s="54">
        <f t="shared" si="2"/>
        <v>5</v>
      </c>
      <c r="M7" s="54">
        <f t="shared" si="2"/>
        <v>6</v>
      </c>
      <c r="N7" s="54">
        <f t="shared" si="2"/>
        <v>7</v>
      </c>
      <c r="P7" s="45">
        <v>4</v>
      </c>
      <c r="Q7" s="34" t="s">
        <v>46</v>
      </c>
    </row>
    <row r="8" spans="1:17" x14ac:dyDescent="0.25">
      <c r="P8" s="45">
        <v>5</v>
      </c>
      <c r="Q8" s="34" t="s">
        <v>47</v>
      </c>
    </row>
    <row r="9" spans="1:17" x14ac:dyDescent="0.25">
      <c r="P9" s="45">
        <v>6</v>
      </c>
      <c r="Q9" s="34" t="s">
        <v>48</v>
      </c>
    </row>
    <row r="10" spans="1:17" x14ac:dyDescent="0.25">
      <c r="B10" s="30" t="s">
        <v>80</v>
      </c>
      <c r="P10" s="45">
        <v>7</v>
      </c>
      <c r="Q10" s="34" t="s">
        <v>49</v>
      </c>
    </row>
    <row r="11" spans="1:17" x14ac:dyDescent="0.25">
      <c r="B11" s="47" t="s">
        <v>81</v>
      </c>
      <c r="C11" s="129" t="s">
        <v>80</v>
      </c>
      <c r="D11" s="130"/>
      <c r="E11" s="130"/>
      <c r="F11" s="130"/>
      <c r="G11" s="130"/>
    </row>
    <row r="12" spans="1:17" x14ac:dyDescent="0.25">
      <c r="B12" s="45" t="s">
        <v>100</v>
      </c>
      <c r="C12" s="34" t="str">
        <f ca="1">_xlfn.FORMULATEXT(D3)</f>
        <v>=VLOOKUP(A3;P$4:Q$10;2)</v>
      </c>
      <c r="D12" s="51"/>
      <c r="E12" s="51"/>
      <c r="F12" s="44"/>
      <c r="G12" s="44"/>
    </row>
    <row r="13" spans="1:17" x14ac:dyDescent="0.25">
      <c r="B13" s="45" t="s">
        <v>101</v>
      </c>
      <c r="C13" s="34" t="str">
        <f ca="1">_xlfn.FORMULATEXT(D4)</f>
        <v>=IF(A4&lt;A3;VLOOKUP(A4;P$4:Q$10;2);"salah, ulangi lagi!")</v>
      </c>
      <c r="D13" s="51"/>
      <c r="E13" s="51"/>
      <c r="F13" s="44"/>
      <c r="G13" s="44"/>
    </row>
    <row r="14" spans="1:17" ht="15" customHeight="1" x14ac:dyDescent="0.25">
      <c r="B14" s="45" t="s">
        <v>103</v>
      </c>
      <c r="C14" s="125" t="str">
        <f ca="1">_xlfn.FORMULATEXT(D5)</f>
        <v>=IF(A3&lt;=A4;"";"naik lagi dari "&amp;VLOOKUP(A4;P4:Q10;2)&amp;" dan turun di "&amp;VLOOKUP(A3;P4:Q10;"2"))</v>
      </c>
      <c r="D14" s="128"/>
      <c r="E14" s="128"/>
      <c r="F14" s="128"/>
      <c r="G14" s="128"/>
    </row>
    <row r="15" spans="1:17" x14ac:dyDescent="0.25">
      <c r="B15" s="45"/>
      <c r="C15" s="125"/>
      <c r="D15" s="128"/>
      <c r="E15" s="128"/>
      <c r="F15" s="128"/>
      <c r="G15" s="128"/>
    </row>
    <row r="16" spans="1:17" x14ac:dyDescent="0.25">
      <c r="B16" s="45" t="s">
        <v>86</v>
      </c>
      <c r="C16" s="34" t="s">
        <v>83</v>
      </c>
      <c r="D16" s="51"/>
      <c r="E16" s="51"/>
      <c r="F16" s="44"/>
      <c r="G16" s="44"/>
    </row>
    <row r="17" spans="2:7" x14ac:dyDescent="0.25">
      <c r="B17" s="45" t="s">
        <v>87</v>
      </c>
      <c r="C17" s="34" t="str">
        <f ca="1">_xlfn.FORMULATEXT(I5)&amp;", salin ke range J5:N5"</f>
        <v>=IF(H5&lt;$A3;H5+1;""), salin ke range J5:N5</v>
      </c>
      <c r="D17" s="51"/>
      <c r="E17" s="51"/>
      <c r="F17" s="44"/>
      <c r="G17" s="44"/>
    </row>
    <row r="18" spans="2:7" x14ac:dyDescent="0.25">
      <c r="B18" s="45" t="s">
        <v>88</v>
      </c>
      <c r="C18" s="34" t="str">
        <f ca="1">_xlfn.FORMULATEXT(H6)</f>
        <v>=IF(A4&gt;=A3;"";1)</v>
      </c>
      <c r="D18" s="51"/>
      <c r="E18" s="51"/>
      <c r="F18" s="44"/>
      <c r="G18" s="44"/>
    </row>
    <row r="19" spans="2:7" x14ac:dyDescent="0.25">
      <c r="B19" s="45" t="s">
        <v>102</v>
      </c>
      <c r="C19" s="34" t="str">
        <f ca="1">_xlfn.FORMULATEXT(I6)&amp;", salin ke range J6:N6"</f>
        <v>=IF(H6&lt;$A4;H6+1;""), salin ke range J6:N6</v>
      </c>
      <c r="D19" s="51"/>
      <c r="E19" s="51"/>
      <c r="F19" s="44"/>
      <c r="G19" s="44"/>
    </row>
    <row r="20" spans="2:7" x14ac:dyDescent="0.25">
      <c r="B20" s="45" t="s">
        <v>89</v>
      </c>
      <c r="C20" s="34" t="str">
        <f ca="1">_xlfn.FORMULATEXT(H7)&amp;", salin ke range I7:N7"</f>
        <v>=IF($A4&gt;=$A3;"";IF(H6="";H5;"")), salin ke range I7:N7</v>
      </c>
      <c r="D20" s="51"/>
      <c r="E20" s="51"/>
      <c r="F20" s="44"/>
      <c r="G20" s="44"/>
    </row>
    <row r="21" spans="2:7" ht="19.5" customHeight="1" x14ac:dyDescent="0.25"/>
  </sheetData>
  <mergeCells count="5">
    <mergeCell ref="C14:G15"/>
    <mergeCell ref="D5:D6"/>
    <mergeCell ref="H3:N3"/>
    <mergeCell ref="B5:C6"/>
    <mergeCell ref="C11:G11"/>
  </mergeCells>
  <conditionalFormatting sqref="H5:N5">
    <cfRule type="notContainsBlanks" dxfId="83" priority="3">
      <formula>LEN(TRIM(H5))&gt;0</formula>
    </cfRule>
  </conditionalFormatting>
  <conditionalFormatting sqref="H6:N6">
    <cfRule type="notContainsBlanks" dxfId="82" priority="4">
      <formula>LEN(TRIM(H6))&gt;0</formula>
    </cfRule>
  </conditionalFormatting>
  <conditionalFormatting sqref="H7:N7">
    <cfRule type="notContainsBlanks" dxfId="81" priority="1">
      <formula>LEN(TRIM(H7))&gt;0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1265" r:id="rId3" name="Scroll Bar 1">
              <controlPr defaultSize="0" autoPict="0">
                <anchor moveWithCells="1">
                  <from>
                    <xdr:col>2</xdr:col>
                    <xdr:colOff>257175</xdr:colOff>
                    <xdr:row>2</xdr:row>
                    <xdr:rowOff>28575</xdr:rowOff>
                  </from>
                  <to>
                    <xdr:col>2</xdr:col>
                    <xdr:colOff>742950</xdr:colOff>
                    <xdr:row>2</xdr:row>
                    <xdr:rowOff>190500</xdr:rowOff>
                  </to>
                </anchor>
              </controlPr>
            </control>
          </mc:Choice>
        </mc:AlternateContent>
        <mc:AlternateContent xmlns:mc="http://schemas.openxmlformats.org/markup-compatibility/2006">
          <mc:Choice Requires="x14">
            <control shapeId="11266" r:id="rId4" name="Scroll Bar 2">
              <controlPr defaultSize="0" autoPict="0">
                <anchor moveWithCells="1">
                  <from>
                    <xdr:col>2</xdr:col>
                    <xdr:colOff>257175</xdr:colOff>
                    <xdr:row>3</xdr:row>
                    <xdr:rowOff>19050</xdr:rowOff>
                  </from>
                  <to>
                    <xdr:col>2</xdr:col>
                    <xdr:colOff>742950</xdr:colOff>
                    <xdr:row>3</xdr:row>
                    <xdr:rowOff>180975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9"/>
  <sheetViews>
    <sheetView showGridLines="0" workbookViewId="0">
      <selection activeCell="I5" sqref="I5"/>
    </sheetView>
  </sheetViews>
  <sheetFormatPr defaultRowHeight="15" x14ac:dyDescent="0.25"/>
  <cols>
    <col min="1" max="1" width="5.85546875" style="1" customWidth="1"/>
    <col min="2" max="2" width="6.140625" style="1" customWidth="1"/>
    <col min="3" max="3" width="12.28515625" style="1" customWidth="1"/>
    <col min="4" max="4" width="24" style="1" customWidth="1"/>
    <col min="5" max="5" width="4.140625" style="1" customWidth="1"/>
    <col min="6" max="6" width="21" style="1" customWidth="1"/>
    <col min="7" max="13" width="5.5703125" style="1" customWidth="1"/>
    <col min="14" max="14" width="4.140625" style="1" customWidth="1"/>
    <col min="15" max="15" width="5" style="1" customWidth="1"/>
    <col min="16" max="16" width="12.28515625" style="1" customWidth="1"/>
    <col min="17" max="17" width="5.85546875" style="1" customWidth="1"/>
    <col min="18" max="16384" width="9.140625" style="1"/>
  </cols>
  <sheetData>
    <row r="1" spans="1:16" ht="19.5" customHeight="1" x14ac:dyDescent="0.25"/>
    <row r="2" spans="1:16" ht="18.75" x14ac:dyDescent="0.25">
      <c r="B2" s="2" t="s">
        <v>104</v>
      </c>
    </row>
    <row r="3" spans="1:16" ht="16.5" customHeight="1" x14ac:dyDescent="0.25">
      <c r="A3" s="20">
        <v>6</v>
      </c>
      <c r="B3" s="35" t="s">
        <v>42</v>
      </c>
      <c r="C3" s="36"/>
      <c r="D3" s="34" t="str">
        <f>VLOOKUP(A3,O$4:P$10,2)</f>
        <v>Stasiun F</v>
      </c>
      <c r="F3" s="41" t="s">
        <v>54</v>
      </c>
      <c r="G3" s="122" t="s">
        <v>52</v>
      </c>
      <c r="H3" s="123"/>
      <c r="I3" s="123"/>
      <c r="J3" s="123"/>
      <c r="K3" s="123"/>
      <c r="L3" s="123"/>
      <c r="M3" s="123"/>
      <c r="O3" s="49" t="s">
        <v>56</v>
      </c>
      <c r="P3" s="50" t="s">
        <v>79</v>
      </c>
    </row>
    <row r="4" spans="1:16" ht="16.5" customHeight="1" x14ac:dyDescent="0.25">
      <c r="A4" s="20">
        <v>7</v>
      </c>
      <c r="B4" s="37" t="s">
        <v>50</v>
      </c>
      <c r="C4" s="38"/>
      <c r="D4" s="39" t="str">
        <f>IF(A4&gt;A3,VLOOKUP(A4,O$4:P$10,2),"salah, ulangi lagi!")</f>
        <v>Stasiun G</v>
      </c>
      <c r="G4" s="52" t="s">
        <v>35</v>
      </c>
      <c r="H4" s="29" t="s">
        <v>36</v>
      </c>
      <c r="I4" s="29" t="s">
        <v>37</v>
      </c>
      <c r="J4" s="29" t="s">
        <v>38</v>
      </c>
      <c r="K4" s="29" t="s">
        <v>39</v>
      </c>
      <c r="L4" s="29" t="s">
        <v>40</v>
      </c>
      <c r="M4" s="28" t="s">
        <v>41</v>
      </c>
      <c r="O4" s="45">
        <v>1</v>
      </c>
      <c r="P4" s="34" t="s">
        <v>43</v>
      </c>
    </row>
    <row r="5" spans="1:16" x14ac:dyDescent="0.25">
      <c r="B5" s="124" t="s">
        <v>51</v>
      </c>
      <c r="C5" s="124"/>
      <c r="D5" s="125" t="str">
        <f>IF(A3&lt;A4,"naik lagi dari "&amp;VLOOKUP(A4,O4:P10,2)&amp;" dan turun di "&amp;VLOOKUP(A3,O4:P10,"2"),"")</f>
        <v>naik lagi dari Stasiun G dan turun di Stasiun F</v>
      </c>
      <c r="E5" s="26"/>
      <c r="F5" s="31" t="s">
        <v>42</v>
      </c>
      <c r="G5" s="53">
        <v>1</v>
      </c>
      <c r="H5" s="54">
        <f t="shared" ref="H5:M5" si="0">IF(G5&lt;$A3,G5+1,"")</f>
        <v>2</v>
      </c>
      <c r="I5" s="54">
        <f t="shared" si="0"/>
        <v>3</v>
      </c>
      <c r="J5" s="54">
        <f t="shared" si="0"/>
        <v>4</v>
      </c>
      <c r="K5" s="54">
        <f t="shared" si="0"/>
        <v>5</v>
      </c>
      <c r="L5" s="54">
        <f t="shared" si="0"/>
        <v>6</v>
      </c>
      <c r="M5" s="54" t="str">
        <f t="shared" si="0"/>
        <v/>
      </c>
      <c r="O5" s="45">
        <v>2</v>
      </c>
      <c r="P5" s="34" t="s">
        <v>44</v>
      </c>
    </row>
    <row r="6" spans="1:16" x14ac:dyDescent="0.25">
      <c r="B6" s="124"/>
      <c r="C6" s="124"/>
      <c r="D6" s="125"/>
      <c r="E6" s="26"/>
      <c r="F6" s="31" t="s">
        <v>50</v>
      </c>
      <c r="G6" s="55">
        <f>IF(A4&lt;=A3,"",1)</f>
        <v>1</v>
      </c>
      <c r="H6" s="42">
        <f>IF(G6&lt;$A4,G6+1,"")</f>
        <v>2</v>
      </c>
      <c r="I6" s="42">
        <f t="shared" ref="I6:M6" si="1">IF(H6="","",IF(H6&lt;$A4,H6+1,""))</f>
        <v>3</v>
      </c>
      <c r="J6" s="42">
        <f t="shared" si="1"/>
        <v>4</v>
      </c>
      <c r="K6" s="42">
        <f t="shared" si="1"/>
        <v>5</v>
      </c>
      <c r="L6" s="42">
        <f>IF(K6="","",IF(K6&lt;$A4,K6+1,""))</f>
        <v>6</v>
      </c>
      <c r="M6" s="42">
        <f t="shared" si="1"/>
        <v>7</v>
      </c>
      <c r="O6" s="45">
        <v>3</v>
      </c>
      <c r="P6" s="34" t="s">
        <v>45</v>
      </c>
    </row>
    <row r="7" spans="1:16" ht="15" customHeight="1" x14ac:dyDescent="0.25">
      <c r="F7" s="31" t="s">
        <v>55</v>
      </c>
      <c r="G7" s="56" t="str">
        <f t="shared" ref="G7:K7" si="2">IF(G5="",G6,"")</f>
        <v/>
      </c>
      <c r="H7" s="57" t="str">
        <f t="shared" si="2"/>
        <v/>
      </c>
      <c r="I7" s="57" t="str">
        <f t="shared" si="2"/>
        <v/>
      </c>
      <c r="J7" s="57" t="str">
        <f t="shared" si="2"/>
        <v/>
      </c>
      <c r="K7" s="57" t="str">
        <f t="shared" si="2"/>
        <v/>
      </c>
      <c r="L7" s="57" t="str">
        <f>IF(L5="",L6,"")</f>
        <v/>
      </c>
      <c r="M7" s="57">
        <f>IF(M5="",M6,"")</f>
        <v>7</v>
      </c>
      <c r="N7" s="25"/>
      <c r="O7" s="45">
        <v>4</v>
      </c>
      <c r="P7" s="34" t="s">
        <v>46</v>
      </c>
    </row>
    <row r="8" spans="1:16" x14ac:dyDescent="0.25">
      <c r="G8" s="40"/>
      <c r="H8" s="40"/>
      <c r="I8" s="40"/>
      <c r="J8" s="40"/>
      <c r="K8" s="40"/>
      <c r="O8" s="45">
        <v>5</v>
      </c>
      <c r="P8" s="34" t="s">
        <v>47</v>
      </c>
    </row>
    <row r="9" spans="1:16" x14ac:dyDescent="0.25">
      <c r="O9" s="45">
        <v>6</v>
      </c>
      <c r="P9" s="34" t="s">
        <v>48</v>
      </c>
    </row>
    <row r="10" spans="1:16" x14ac:dyDescent="0.25">
      <c r="B10" s="30" t="s">
        <v>80</v>
      </c>
      <c r="O10" s="45">
        <v>7</v>
      </c>
      <c r="P10" s="34" t="s">
        <v>49</v>
      </c>
    </row>
    <row r="11" spans="1:16" x14ac:dyDescent="0.25">
      <c r="B11" s="47" t="s">
        <v>81</v>
      </c>
      <c r="C11" s="126" t="s">
        <v>80</v>
      </c>
      <c r="D11" s="127"/>
      <c r="E11" s="127"/>
      <c r="F11" s="127"/>
    </row>
    <row r="12" spans="1:16" ht="15" customHeight="1" x14ac:dyDescent="0.25">
      <c r="B12" s="45" t="s">
        <v>103</v>
      </c>
      <c r="C12" s="125" t="str">
        <f ca="1">_xlfn.FORMULATEXT(D5)</f>
        <v>=IF(A3&lt;A4;"naik lagi dari "&amp;VLOOKUP(A4;O4:P10;2)&amp;" dan turun di "&amp;VLOOKUP(A3;O4:P10;"2");"")</v>
      </c>
      <c r="D12" s="128"/>
      <c r="E12" s="128"/>
      <c r="F12" s="128"/>
    </row>
    <row r="13" spans="1:16" x14ac:dyDescent="0.25">
      <c r="B13" s="45"/>
      <c r="C13" s="125"/>
      <c r="D13" s="128"/>
      <c r="E13" s="128"/>
      <c r="F13" s="128"/>
    </row>
    <row r="14" spans="1:16" x14ac:dyDescent="0.25">
      <c r="B14" s="45" t="s">
        <v>82</v>
      </c>
      <c r="C14" s="34" t="s">
        <v>83</v>
      </c>
      <c r="D14" s="51"/>
      <c r="E14" s="51"/>
      <c r="F14" s="44"/>
    </row>
    <row r="15" spans="1:16" x14ac:dyDescent="0.25">
      <c r="B15" s="45" t="s">
        <v>86</v>
      </c>
      <c r="C15" s="34" t="str">
        <f ca="1">_xlfn.FORMULATEXT(H5)&amp;", salin ke range I5:M5"</f>
        <v>=IF(G5&lt;$A3;G5+1;""), salin ke range I5:M5</v>
      </c>
      <c r="D15" s="51"/>
      <c r="E15" s="51"/>
      <c r="F15" s="44"/>
    </row>
    <row r="16" spans="1:16" x14ac:dyDescent="0.25">
      <c r="B16" s="45" t="s">
        <v>84</v>
      </c>
      <c r="C16" s="34" t="str">
        <f ca="1">_xlfn.FORMULATEXT(G6)</f>
        <v>=IF(A4&lt;=A3;"";1)</v>
      </c>
      <c r="D16" s="51"/>
      <c r="E16" s="51"/>
      <c r="F16" s="44"/>
    </row>
    <row r="17" spans="2:6" x14ac:dyDescent="0.25">
      <c r="B17" s="45" t="s">
        <v>88</v>
      </c>
      <c r="C17" s="34" t="str">
        <f ca="1">_xlfn.FORMULATEXT(H6)&amp;", salin ke range I6:N6"</f>
        <v>=IF(G6&lt;$A4;G6+1;""), salin ke range I6:N6</v>
      </c>
      <c r="D17" s="51"/>
      <c r="E17" s="51"/>
      <c r="F17" s="44"/>
    </row>
    <row r="18" spans="2:6" x14ac:dyDescent="0.25">
      <c r="B18" s="45" t="s">
        <v>85</v>
      </c>
      <c r="C18" s="34" t="str">
        <f ca="1">_xlfn.FORMULATEXT(G7)&amp;", salin ke range H7:M7"</f>
        <v>=IF(G5="";G6;""), salin ke range H7:M7</v>
      </c>
      <c r="D18" s="51"/>
      <c r="E18" s="51"/>
      <c r="F18" s="44"/>
    </row>
    <row r="19" spans="2:6" ht="19.5" customHeight="1" x14ac:dyDescent="0.25"/>
  </sheetData>
  <mergeCells count="5">
    <mergeCell ref="G3:M3"/>
    <mergeCell ref="B5:C6"/>
    <mergeCell ref="D5:D6"/>
    <mergeCell ref="C12:F13"/>
    <mergeCell ref="C11:F11"/>
  </mergeCells>
  <conditionalFormatting sqref="G5:M5">
    <cfRule type="notContainsBlanks" dxfId="80" priority="6">
      <formula>LEN(TRIM(G5))&gt;0</formula>
    </cfRule>
  </conditionalFormatting>
  <conditionalFormatting sqref="G6:M6">
    <cfRule type="notContainsBlanks" dxfId="79" priority="5">
      <formula>LEN(TRIM(G6))&gt;0</formula>
    </cfRule>
  </conditionalFormatting>
  <conditionalFormatting sqref="G7:M7">
    <cfRule type="notContainsBlanks" dxfId="78" priority="4">
      <formula>LEN(TRIM(G7))&gt;0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2289" r:id="rId3" name="Scroll Bar 1">
              <controlPr defaultSize="0" autoPict="0">
                <anchor moveWithCells="1">
                  <from>
                    <xdr:col>2</xdr:col>
                    <xdr:colOff>228600</xdr:colOff>
                    <xdr:row>2</xdr:row>
                    <xdr:rowOff>28575</xdr:rowOff>
                  </from>
                  <to>
                    <xdr:col>2</xdr:col>
                    <xdr:colOff>714375</xdr:colOff>
                    <xdr:row>2</xdr:row>
                    <xdr:rowOff>190500</xdr:rowOff>
                  </to>
                </anchor>
              </controlPr>
            </control>
          </mc:Choice>
        </mc:AlternateContent>
        <mc:AlternateContent xmlns:mc="http://schemas.openxmlformats.org/markup-compatibility/2006">
          <mc:Choice Requires="x14">
            <control shapeId="12290" r:id="rId4" name="Scroll Bar 2">
              <controlPr defaultSize="0" autoPict="0">
                <anchor moveWithCells="1">
                  <from>
                    <xdr:col>2</xdr:col>
                    <xdr:colOff>228600</xdr:colOff>
                    <xdr:row>3</xdr:row>
                    <xdr:rowOff>19050</xdr:rowOff>
                  </from>
                  <to>
                    <xdr:col>2</xdr:col>
                    <xdr:colOff>714375</xdr:colOff>
                    <xdr:row>3</xdr:row>
                    <xdr:rowOff>180975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2"/>
  <sheetViews>
    <sheetView showGridLines="0" workbookViewId="0">
      <selection activeCell="M5" sqref="M5"/>
    </sheetView>
  </sheetViews>
  <sheetFormatPr defaultRowHeight="15" x14ac:dyDescent="0.25"/>
  <cols>
    <col min="1" max="1" width="5.85546875" style="1" customWidth="1"/>
    <col min="2" max="2" width="6.140625" style="1" customWidth="1"/>
    <col min="3" max="3" width="12.28515625" style="1" customWidth="1"/>
    <col min="4" max="4" width="24" style="1" customWidth="1"/>
    <col min="5" max="5" width="4.140625" style="1" customWidth="1"/>
    <col min="6" max="6" width="21" style="1" customWidth="1"/>
    <col min="7" max="9" width="5.5703125" style="1" customWidth="1"/>
    <col min="10" max="10" width="2" style="1" customWidth="1"/>
    <col min="11" max="13" width="5.5703125" style="1" customWidth="1"/>
    <col min="14" max="14" width="4.140625" style="1" customWidth="1"/>
    <col min="15" max="15" width="5" style="1" customWidth="1"/>
    <col min="16" max="16" width="12.28515625" style="1" customWidth="1"/>
    <col min="17" max="17" width="5.85546875" style="1" customWidth="1"/>
    <col min="18" max="16384" width="9.140625" style="1"/>
  </cols>
  <sheetData>
    <row r="1" spans="1:16" ht="19.5" customHeight="1" x14ac:dyDescent="0.25"/>
    <row r="2" spans="1:16" ht="18.75" x14ac:dyDescent="0.25">
      <c r="B2" s="2" t="s">
        <v>142</v>
      </c>
    </row>
    <row r="3" spans="1:16" ht="16.5" customHeight="1" x14ac:dyDescent="0.25">
      <c r="A3" s="20">
        <v>7</v>
      </c>
      <c r="B3" s="35" t="s">
        <v>42</v>
      </c>
      <c r="C3" s="36"/>
      <c r="D3" s="34" t="str">
        <f>VLOOKUP(A3,O$4:P$10,2)</f>
        <v>Stasiun G</v>
      </c>
      <c r="F3" s="113" t="s">
        <v>54</v>
      </c>
      <c r="G3" s="123" t="s">
        <v>52</v>
      </c>
      <c r="H3" s="123"/>
      <c r="I3" s="123"/>
      <c r="J3" s="123"/>
      <c r="K3" s="123"/>
      <c r="L3" s="123"/>
      <c r="M3" s="123"/>
      <c r="O3" s="49" t="s">
        <v>56</v>
      </c>
      <c r="P3" s="50" t="s">
        <v>79</v>
      </c>
    </row>
    <row r="4" spans="1:16" ht="16.5" customHeight="1" x14ac:dyDescent="0.25">
      <c r="A4" s="20">
        <f>IF(A3-4,4-(A3-4),"")</f>
        <v>1</v>
      </c>
      <c r="B4" s="37" t="s">
        <v>50</v>
      </c>
      <c r="C4" s="38"/>
      <c r="D4" s="39" t="str">
        <f>VLOOKUP(A4,O$4:P$10,2)</f>
        <v>Stasiun A</v>
      </c>
      <c r="F4" s="114"/>
      <c r="G4" s="28" t="s">
        <v>35</v>
      </c>
      <c r="H4" s="29" t="s">
        <v>36</v>
      </c>
      <c r="I4" s="29" t="s">
        <v>37</v>
      </c>
      <c r="J4" s="111" t="s">
        <v>38</v>
      </c>
      <c r="K4" s="29" t="s">
        <v>39</v>
      </c>
      <c r="L4" s="29" t="s">
        <v>40</v>
      </c>
      <c r="M4" s="28" t="s">
        <v>41</v>
      </c>
      <c r="O4" s="101">
        <v>1</v>
      </c>
      <c r="P4" s="34" t="s">
        <v>43</v>
      </c>
    </row>
    <row r="5" spans="1:16" x14ac:dyDescent="0.25">
      <c r="B5" s="124" t="s">
        <v>51</v>
      </c>
      <c r="C5" s="124"/>
      <c r="D5" s="125" t="str">
        <f>"naik lagi dari "&amp;VLOOKUP(A4,O4:P10,2)&amp;" dan turun di "&amp;VLOOKUP(A3,O4:P10,2)</f>
        <v>naik lagi dari Stasiun A dan turun di Stasiun G</v>
      </c>
      <c r="E5" s="103"/>
      <c r="F5" s="115" t="s">
        <v>42</v>
      </c>
      <c r="G5" s="54">
        <v>1</v>
      </c>
      <c r="H5" s="54">
        <f t="shared" ref="H5:M5" si="0">IF(G5&lt;$A3,G5+1,"")</f>
        <v>2</v>
      </c>
      <c r="I5" s="54">
        <f t="shared" si="0"/>
        <v>3</v>
      </c>
      <c r="J5" s="117">
        <f t="shared" si="0"/>
        <v>4</v>
      </c>
      <c r="K5" s="54">
        <f t="shared" si="0"/>
        <v>5</v>
      </c>
      <c r="L5" s="54">
        <f t="shared" si="0"/>
        <v>6</v>
      </c>
      <c r="M5" s="54">
        <f t="shared" si="0"/>
        <v>7</v>
      </c>
      <c r="O5" s="101">
        <v>2</v>
      </c>
      <c r="P5" s="34" t="s">
        <v>44</v>
      </c>
    </row>
    <row r="6" spans="1:16" x14ac:dyDescent="0.25">
      <c r="B6" s="124"/>
      <c r="C6" s="124"/>
      <c r="D6" s="125"/>
      <c r="E6" s="103"/>
      <c r="F6" s="115" t="s">
        <v>50</v>
      </c>
      <c r="G6" s="42" t="str">
        <f>IF(A4=1,"x","")</f>
        <v>x</v>
      </c>
      <c r="H6" s="116" t="str">
        <f>IF(A4&lt;=2,"x","")</f>
        <v>x</v>
      </c>
      <c r="I6" s="42" t="b">
        <f>IF(A4=3,"x;""")</f>
        <v>0</v>
      </c>
      <c r="J6" s="118"/>
      <c r="K6" s="42"/>
      <c r="L6" s="42"/>
      <c r="M6" s="42"/>
      <c r="O6" s="101">
        <v>3</v>
      </c>
      <c r="P6" s="34" t="s">
        <v>45</v>
      </c>
    </row>
    <row r="7" spans="1:16" ht="15" customHeight="1" x14ac:dyDescent="0.25">
      <c r="F7" s="115" t="s">
        <v>55</v>
      </c>
      <c r="G7" s="57" t="str">
        <f>IF(G6="","","x")</f>
        <v>x</v>
      </c>
      <c r="H7" s="57" t="str">
        <f t="shared" ref="H7:J7" si="1">IF(H6="","","x")</f>
        <v>x</v>
      </c>
      <c r="I7" s="57" t="str">
        <f t="shared" si="1"/>
        <v>x</v>
      </c>
      <c r="J7" s="119" t="str">
        <f t="shared" si="1"/>
        <v/>
      </c>
      <c r="K7" s="112" t="str">
        <f>IF(K5="","","x")</f>
        <v>x</v>
      </c>
      <c r="L7" s="112" t="str">
        <f t="shared" ref="L7:M7" si="2">IF(L5="","","x")</f>
        <v>x</v>
      </c>
      <c r="M7" s="112" t="str">
        <f t="shared" si="2"/>
        <v>x</v>
      </c>
      <c r="N7" s="25"/>
      <c r="O7" s="101">
        <v>4</v>
      </c>
      <c r="P7" s="34" t="s">
        <v>46</v>
      </c>
    </row>
    <row r="8" spans="1:16" x14ac:dyDescent="0.25">
      <c r="G8" s="40"/>
      <c r="H8" s="40"/>
      <c r="I8" s="40"/>
      <c r="J8" s="40"/>
      <c r="K8" s="40"/>
      <c r="O8" s="101">
        <v>5</v>
      </c>
      <c r="P8" s="34" t="s">
        <v>47</v>
      </c>
    </row>
    <row r="9" spans="1:16" x14ac:dyDescent="0.25">
      <c r="O9" s="101">
        <v>6</v>
      </c>
      <c r="P9" s="34" t="s">
        <v>48</v>
      </c>
    </row>
    <row r="10" spans="1:16" x14ac:dyDescent="0.25">
      <c r="B10" s="30" t="s">
        <v>80</v>
      </c>
      <c r="O10" s="101">
        <v>7</v>
      </c>
      <c r="P10" s="34" t="s">
        <v>49</v>
      </c>
    </row>
    <row r="11" spans="1:16" x14ac:dyDescent="0.25">
      <c r="B11" s="100" t="s">
        <v>81</v>
      </c>
      <c r="C11" s="126" t="s">
        <v>80</v>
      </c>
      <c r="D11" s="127"/>
      <c r="E11" s="127"/>
      <c r="F11" s="127"/>
    </row>
    <row r="12" spans="1:16" ht="15" customHeight="1" x14ac:dyDescent="0.25">
      <c r="B12" s="101" t="s">
        <v>100</v>
      </c>
      <c r="C12" s="34" t="str">
        <f ca="1">_xlfn.FORMULATEXT(D3)</f>
        <v>=VLOOKUP(A3;O$4:P$10;2)</v>
      </c>
      <c r="D12" s="107"/>
      <c r="E12" s="107"/>
      <c r="F12" s="107"/>
    </row>
    <row r="13" spans="1:16" ht="15" customHeight="1" x14ac:dyDescent="0.25">
      <c r="B13" s="101" t="s">
        <v>143</v>
      </c>
      <c r="C13" s="34" t="str">
        <f ca="1">_xlfn.FORMULATEXT(A4)</f>
        <v>=IF(A3-4;4-(A3-4);"")</v>
      </c>
      <c r="D13" s="107"/>
      <c r="E13" s="107"/>
      <c r="F13" s="107"/>
    </row>
    <row r="14" spans="1:16" ht="15" customHeight="1" x14ac:dyDescent="0.25">
      <c r="B14" s="101" t="s">
        <v>103</v>
      </c>
      <c r="C14" s="34" t="str">
        <f ca="1">_xlfn.FORMULATEXT(D4)</f>
        <v>=VLOOKUP(A4;O$4:P$10;2)</v>
      </c>
      <c r="D14" s="107"/>
      <c r="E14" s="107"/>
      <c r="F14" s="107"/>
    </row>
    <row r="15" spans="1:16" ht="30" customHeight="1" x14ac:dyDescent="0.25">
      <c r="B15" s="101" t="s">
        <v>127</v>
      </c>
      <c r="C15" s="125" t="str">
        <f ca="1">_xlfn.FORMULATEXT(D5)</f>
        <v>="naik lagi dari "&amp;VLOOKUP(A4;O4:P10;2)&amp;" dan turun di "&amp;VLOOKUP(A3;O4:P10;2)</v>
      </c>
      <c r="D15" s="128"/>
      <c r="E15" s="128"/>
      <c r="F15" s="128"/>
    </row>
    <row r="16" spans="1:16" ht="15" customHeight="1" x14ac:dyDescent="0.25">
      <c r="B16" s="101" t="s">
        <v>82</v>
      </c>
      <c r="C16" s="34" t="s">
        <v>144</v>
      </c>
      <c r="D16" s="107"/>
      <c r="E16" s="107"/>
      <c r="F16" s="107"/>
    </row>
    <row r="17" spans="2:6" x14ac:dyDescent="0.25">
      <c r="B17" s="101" t="s">
        <v>86</v>
      </c>
      <c r="C17" s="120" t="str">
        <f ca="1">_xlfn.FORMULATEXT(H5)&amp;", salin ke range I5:M5"</f>
        <v>=IF(G5&lt;$A3;G5+1;""), salin ke range I5:M5</v>
      </c>
      <c r="D17" s="51"/>
      <c r="E17" s="51"/>
      <c r="F17" s="51"/>
    </row>
    <row r="18" spans="2:6" x14ac:dyDescent="0.25">
      <c r="B18" s="101" t="s">
        <v>84</v>
      </c>
      <c r="C18" s="34" t="str">
        <f ca="1">_xlfn.FORMULATEXT(G6)</f>
        <v>=IF(A4=1;"x";"")</v>
      </c>
      <c r="D18" s="51"/>
      <c r="E18" s="51"/>
      <c r="F18" s="44"/>
    </row>
    <row r="19" spans="2:6" x14ac:dyDescent="0.25">
      <c r="B19" s="101" t="s">
        <v>88</v>
      </c>
      <c r="C19" s="34" t="str">
        <f ca="1">_xlfn.FORMULATEXT(H6)</f>
        <v>=IF(A4&lt;=2;"x";"")</v>
      </c>
      <c r="D19" s="51"/>
      <c r="E19" s="51"/>
      <c r="F19" s="44"/>
    </row>
    <row r="20" spans="2:6" x14ac:dyDescent="0.25">
      <c r="B20" s="101" t="s">
        <v>102</v>
      </c>
      <c r="C20" s="34" t="str">
        <f ca="1">_xlfn.FORMULATEXT(I6)</f>
        <v>=IF(A4=3;"x;""")</v>
      </c>
      <c r="D20" s="51"/>
      <c r="E20" s="51"/>
      <c r="F20" s="44"/>
    </row>
    <row r="21" spans="2:6" x14ac:dyDescent="0.25">
      <c r="B21" s="101" t="s">
        <v>85</v>
      </c>
      <c r="C21" s="34" t="str">
        <f ca="1">_xlfn.FORMULATEXT(G7)&amp;", salin ke range H7:M7"</f>
        <v>=IF(G6="";"";"x"), salin ke range H7:M7</v>
      </c>
      <c r="D21" s="51"/>
      <c r="E21" s="51"/>
      <c r="F21" s="44"/>
    </row>
    <row r="22" spans="2:6" ht="19.5" customHeight="1" x14ac:dyDescent="0.25"/>
  </sheetData>
  <mergeCells count="5">
    <mergeCell ref="G3:M3"/>
    <mergeCell ref="B5:C6"/>
    <mergeCell ref="D5:D6"/>
    <mergeCell ref="C11:F11"/>
    <mergeCell ref="C15:F15"/>
  </mergeCells>
  <conditionalFormatting sqref="K5:M5">
    <cfRule type="notContainsBlanks" dxfId="77" priority="3">
      <formula>LEN(TRIM(K5))&gt;0</formula>
    </cfRule>
  </conditionalFormatting>
  <conditionalFormatting sqref="G6:M6">
    <cfRule type="notContainsBlanks" dxfId="76" priority="2">
      <formula>LEN(TRIM(G6))&gt;0</formula>
    </cfRule>
  </conditionalFormatting>
  <conditionalFormatting sqref="G7">
    <cfRule type="notContainsBlanks" dxfId="75" priority="4">
      <formula>LEN(TRIM(G7))&gt;0</formula>
    </cfRule>
  </conditionalFormatting>
  <conditionalFormatting sqref="H7:I7 K7:M7">
    <cfRule type="notContainsBlanks" dxfId="74" priority="1">
      <formula>LEN(TRIM(H7))&gt;0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43009" r:id="rId3" name="Scroll Bar 1">
              <controlPr defaultSize="0" autoPict="0">
                <anchor moveWithCells="1">
                  <from>
                    <xdr:col>2</xdr:col>
                    <xdr:colOff>228600</xdr:colOff>
                    <xdr:row>2</xdr:row>
                    <xdr:rowOff>28575</xdr:rowOff>
                  </from>
                  <to>
                    <xdr:col>2</xdr:col>
                    <xdr:colOff>714375</xdr:colOff>
                    <xdr:row>2</xdr:row>
                    <xdr:rowOff>190500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1"/>
  <sheetViews>
    <sheetView showGridLines="0" workbookViewId="0">
      <selection activeCell="T39" sqref="T39"/>
    </sheetView>
  </sheetViews>
  <sheetFormatPr defaultRowHeight="15" x14ac:dyDescent="0.25"/>
  <cols>
    <col min="1" max="1" width="5.85546875" style="1" customWidth="1"/>
    <col min="2" max="2" width="6.42578125" style="1" customWidth="1"/>
    <col min="3" max="3" width="15" style="1" customWidth="1"/>
    <col min="4" max="4" width="13.5703125" style="1" customWidth="1"/>
    <col min="5" max="5" width="26.85546875" style="1" customWidth="1"/>
    <col min="6" max="6" width="3.7109375" style="1" customWidth="1"/>
    <col min="7" max="7" width="4.5703125" style="1" customWidth="1"/>
    <col min="8" max="9" width="9.140625" style="1"/>
    <col min="10" max="10" width="28" style="1" customWidth="1"/>
    <col min="11" max="11" width="40.85546875" style="1" customWidth="1"/>
    <col min="12" max="12" width="5.85546875" style="1" customWidth="1"/>
    <col min="13" max="16384" width="9.140625" style="1"/>
  </cols>
  <sheetData>
    <row r="1" spans="1:11" ht="19.5" customHeight="1" x14ac:dyDescent="0.25"/>
    <row r="2" spans="1:11" ht="18.75" x14ac:dyDescent="0.25">
      <c r="B2" s="2" t="s">
        <v>98</v>
      </c>
    </row>
    <row r="3" spans="1:11" x14ac:dyDescent="0.25">
      <c r="B3" s="1" t="s">
        <v>69</v>
      </c>
    </row>
    <row r="4" spans="1:11" x14ac:dyDescent="0.25">
      <c r="B4" s="44"/>
      <c r="C4" s="44"/>
      <c r="D4" s="44"/>
      <c r="G4" s="47" t="s">
        <v>56</v>
      </c>
      <c r="H4" s="48" t="s">
        <v>42</v>
      </c>
      <c r="I4" s="48" t="s">
        <v>57</v>
      </c>
      <c r="J4" s="130" t="s">
        <v>51</v>
      </c>
      <c r="K4" s="130"/>
    </row>
    <row r="5" spans="1:11" x14ac:dyDescent="0.25">
      <c r="B5" s="44"/>
      <c r="C5" s="44"/>
      <c r="D5" s="44"/>
      <c r="G5" s="45">
        <v>1</v>
      </c>
      <c r="H5" s="46" t="s">
        <v>58</v>
      </c>
      <c r="I5" s="46" t="s">
        <v>59</v>
      </c>
      <c r="J5" s="46" t="s">
        <v>72</v>
      </c>
      <c r="K5" s="33" t="s">
        <v>60</v>
      </c>
    </row>
    <row r="6" spans="1:11" x14ac:dyDescent="0.25">
      <c r="B6" s="44"/>
      <c r="C6" s="44"/>
      <c r="D6" s="44"/>
      <c r="G6" s="45">
        <v>2</v>
      </c>
      <c r="H6" s="46" t="s">
        <v>59</v>
      </c>
      <c r="I6" s="46" t="s">
        <v>58</v>
      </c>
      <c r="J6" s="46" t="s">
        <v>73</v>
      </c>
      <c r="K6" s="33" t="s">
        <v>78</v>
      </c>
    </row>
    <row r="7" spans="1:11" x14ac:dyDescent="0.25">
      <c r="B7" s="44"/>
      <c r="C7" s="44"/>
      <c r="D7" s="44"/>
      <c r="G7" s="45">
        <v>3</v>
      </c>
      <c r="H7" s="46" t="s">
        <v>61</v>
      </c>
      <c r="I7" s="46" t="s">
        <v>62</v>
      </c>
      <c r="J7" s="46" t="s">
        <v>74</v>
      </c>
      <c r="K7" s="33" t="s">
        <v>63</v>
      </c>
    </row>
    <row r="8" spans="1:11" x14ac:dyDescent="0.25">
      <c r="B8" s="44"/>
      <c r="C8" s="44"/>
      <c r="D8" s="44"/>
      <c r="G8" s="45">
        <v>4</v>
      </c>
      <c r="H8" s="46" t="s">
        <v>62</v>
      </c>
      <c r="I8" s="46" t="s">
        <v>61</v>
      </c>
      <c r="J8" s="46" t="s">
        <v>75</v>
      </c>
      <c r="K8" s="33" t="s">
        <v>64</v>
      </c>
    </row>
    <row r="9" spans="1:11" x14ac:dyDescent="0.25">
      <c r="G9" s="45">
        <v>5</v>
      </c>
      <c r="H9" s="46" t="s">
        <v>65</v>
      </c>
      <c r="I9" s="46" t="s">
        <v>66</v>
      </c>
      <c r="J9" s="46" t="s">
        <v>76</v>
      </c>
      <c r="K9" s="33" t="s">
        <v>67</v>
      </c>
    </row>
    <row r="10" spans="1:11" ht="16.5" customHeight="1" x14ac:dyDescent="0.25">
      <c r="A10" s="20">
        <v>1</v>
      </c>
      <c r="B10" s="10" t="s">
        <v>71</v>
      </c>
      <c r="C10" s="9"/>
      <c r="D10" s="34" t="str">
        <f>VLOOKUP(A$10,G$5:K$10,2)</f>
        <v>A ke B</v>
      </c>
      <c r="E10" s="44"/>
      <c r="G10" s="45">
        <v>6</v>
      </c>
      <c r="H10" s="46" t="s">
        <v>66</v>
      </c>
      <c r="I10" s="46" t="s">
        <v>65</v>
      </c>
      <c r="J10" s="46" t="s">
        <v>77</v>
      </c>
      <c r="K10" s="33" t="s">
        <v>68</v>
      </c>
    </row>
    <row r="11" spans="1:11" ht="16.5" customHeight="1" x14ac:dyDescent="0.25">
      <c r="B11" s="10" t="s">
        <v>70</v>
      </c>
      <c r="C11" s="9"/>
      <c r="D11" s="34" t="str">
        <f>VLOOKUP(A$10,G$5:K$10,3)</f>
        <v>A ke C</v>
      </c>
      <c r="E11" s="44"/>
    </row>
    <row r="12" spans="1:11" ht="16.5" customHeight="1" x14ac:dyDescent="0.25">
      <c r="B12" s="10" t="s">
        <v>51</v>
      </c>
      <c r="C12" s="9"/>
      <c r="D12" s="34" t="str">
        <f>VLOOKUP(A$10,G$5:K$10,4)</f>
        <v>1. langsung dari C ke B, atau</v>
      </c>
      <c r="E12" s="44"/>
    </row>
    <row r="13" spans="1:11" ht="16.5" customHeight="1" x14ac:dyDescent="0.25">
      <c r="B13" s="10"/>
      <c r="C13" s="9"/>
      <c r="D13" s="34" t="str">
        <f>VLOOKUP(A$10,G$5:K$10,5)</f>
        <v>2. dari C kembali ke A, baru kemudian ke B</v>
      </c>
      <c r="E13" s="44"/>
    </row>
    <row r="14" spans="1:11" ht="15.75" customHeight="1" x14ac:dyDescent="0.25"/>
    <row r="15" spans="1:11" x14ac:dyDescent="0.25">
      <c r="B15" s="30" t="s">
        <v>80</v>
      </c>
    </row>
    <row r="16" spans="1:11" x14ac:dyDescent="0.25">
      <c r="B16" s="59" t="s">
        <v>81</v>
      </c>
      <c r="C16" s="131" t="s">
        <v>80</v>
      </c>
      <c r="D16" s="132"/>
    </row>
    <row r="17" spans="2:4" x14ac:dyDescent="0.25">
      <c r="B17" s="45" t="s">
        <v>90</v>
      </c>
      <c r="C17" s="34" t="str">
        <f ca="1">_xlfn.FORMULATEXT(D10)</f>
        <v>=VLOOKUP(A$10;G$5:K$10;2)</v>
      </c>
      <c r="D17" s="44"/>
    </row>
    <row r="18" spans="2:4" x14ac:dyDescent="0.25">
      <c r="B18" s="45" t="s">
        <v>91</v>
      </c>
      <c r="C18" s="34" t="str">
        <f t="shared" ref="C18:C20" ca="1" si="0">_xlfn.FORMULATEXT(D11)</f>
        <v>=VLOOKUP(A$10;G$5:K$10;3)</v>
      </c>
      <c r="D18" s="44"/>
    </row>
    <row r="19" spans="2:4" x14ac:dyDescent="0.25">
      <c r="B19" s="45" t="s">
        <v>92</v>
      </c>
      <c r="C19" s="34" t="str">
        <f t="shared" ca="1" si="0"/>
        <v>=VLOOKUP(A$10;G$5:K$10;4)</v>
      </c>
      <c r="D19" s="44"/>
    </row>
    <row r="20" spans="2:4" x14ac:dyDescent="0.25">
      <c r="B20" s="45" t="s">
        <v>93</v>
      </c>
      <c r="C20" s="34" t="str">
        <f t="shared" ca="1" si="0"/>
        <v>=VLOOKUP(A$10;G$5:K$10;5)</v>
      </c>
      <c r="D20" s="44"/>
    </row>
    <row r="21" spans="2:4" ht="19.5" customHeight="1" x14ac:dyDescent="0.25"/>
  </sheetData>
  <mergeCells count="2">
    <mergeCell ref="J4:K4"/>
    <mergeCell ref="C16:D1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4337" r:id="rId3" name="Scroll Bar 1">
              <controlPr defaultSize="0" autoPict="0">
                <anchor moveWithCells="1">
                  <from>
                    <xdr:col>2</xdr:col>
                    <xdr:colOff>419100</xdr:colOff>
                    <xdr:row>9</xdr:row>
                    <xdr:rowOff>28575</xdr:rowOff>
                  </from>
                  <to>
                    <xdr:col>2</xdr:col>
                    <xdr:colOff>904875</xdr:colOff>
                    <xdr:row>9</xdr:row>
                    <xdr:rowOff>190500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4"/>
  <sheetViews>
    <sheetView showGridLines="0" workbookViewId="0">
      <selection activeCell="M29" sqref="M29"/>
    </sheetView>
  </sheetViews>
  <sheetFormatPr defaultRowHeight="15" x14ac:dyDescent="0.25"/>
  <cols>
    <col min="1" max="1" width="5.85546875" style="1" customWidth="1"/>
    <col min="2" max="2" width="0.7109375" style="1" customWidth="1"/>
    <col min="3" max="3" width="4.5703125" style="1" customWidth="1"/>
    <col min="4" max="4" width="21" style="1" customWidth="1"/>
    <col min="5" max="5" width="8.28515625" style="1" customWidth="1"/>
    <col min="6" max="7" width="11.28515625" style="1" customWidth="1"/>
    <col min="8" max="8" width="5.7109375" style="1" customWidth="1"/>
    <col min="9" max="9" width="5.28515625" style="1" customWidth="1"/>
    <col min="10" max="10" width="18.28515625" style="1" customWidth="1"/>
    <col min="11" max="11" width="34" style="1" customWidth="1"/>
    <col min="12" max="12" width="5.85546875" style="1" customWidth="1"/>
    <col min="13" max="16384" width="9.140625" style="1"/>
  </cols>
  <sheetData>
    <row r="1" spans="1:11" ht="19.5" customHeight="1" x14ac:dyDescent="0.25"/>
    <row r="2" spans="1:11" ht="18.75" x14ac:dyDescent="0.25">
      <c r="B2" s="2" t="s">
        <v>0</v>
      </c>
      <c r="C2" s="2"/>
    </row>
    <row r="3" spans="1:11" x14ac:dyDescent="0.25">
      <c r="B3" s="21" t="s">
        <v>1</v>
      </c>
      <c r="C3" s="21"/>
    </row>
    <row r="4" spans="1:11" ht="16.5" customHeight="1" x14ac:dyDescent="0.25">
      <c r="A4" s="20">
        <v>2</v>
      </c>
      <c r="B4" s="9"/>
      <c r="C4" s="32" t="s">
        <v>2</v>
      </c>
      <c r="D4" s="43"/>
      <c r="E4" s="11" t="str">
        <f>VLOOKUP(A4,I6:J9,2)</f>
        <v>Listrik</v>
      </c>
      <c r="F4" s="12"/>
      <c r="I4" s="30" t="s">
        <v>105</v>
      </c>
    </row>
    <row r="5" spans="1:11" ht="16.5" customHeight="1" x14ac:dyDescent="0.25">
      <c r="A5" s="20">
        <v>3</v>
      </c>
      <c r="B5" s="9"/>
      <c r="C5" s="32" t="s">
        <v>3</v>
      </c>
      <c r="D5" s="43"/>
      <c r="E5" s="11" t="str">
        <f>VLOOKUP(A5,I13:J17,2)</f>
        <v>Bank Central Asia</v>
      </c>
      <c r="F5" s="12"/>
      <c r="I5" s="59" t="s">
        <v>56</v>
      </c>
      <c r="J5" s="60" t="s">
        <v>106</v>
      </c>
      <c r="K5" s="60" t="s">
        <v>115</v>
      </c>
    </row>
    <row r="6" spans="1:11" ht="16.5" customHeight="1" x14ac:dyDescent="0.25">
      <c r="A6" s="20">
        <v>1250</v>
      </c>
      <c r="B6" s="9"/>
      <c r="C6" s="32" t="s">
        <v>4</v>
      </c>
      <c r="D6" s="43"/>
      <c r="E6" s="136">
        <f>A6*1000</f>
        <v>1250000</v>
      </c>
      <c r="F6" s="137"/>
      <c r="I6" s="45">
        <v>1</v>
      </c>
      <c r="J6" s="62" t="s">
        <v>6</v>
      </c>
      <c r="K6" s="34" t="str">
        <f>"beban/biaya "&amp;LOWER(J6)&amp;" bulan ini"</f>
        <v>beban/biaya gaji karyawan bulan ini</v>
      </c>
    </row>
    <row r="7" spans="1:11" x14ac:dyDescent="0.25">
      <c r="I7" s="45">
        <v>2</v>
      </c>
      <c r="J7" s="62" t="s">
        <v>7</v>
      </c>
      <c r="K7" s="34" t="str">
        <f t="shared" ref="K7:K9" si="0">"beban/biaya "&amp;LOWER(J7)&amp;" bulan ini"</f>
        <v>beban/biaya listrik bulan ini</v>
      </c>
    </row>
    <row r="8" spans="1:11" x14ac:dyDescent="0.25">
      <c r="B8" s="16"/>
      <c r="C8" s="4" t="s">
        <v>5</v>
      </c>
      <c r="E8" s="4"/>
      <c r="F8" s="4"/>
      <c r="G8" s="4"/>
      <c r="I8" s="45">
        <v>3</v>
      </c>
      <c r="J8" s="62" t="s">
        <v>8</v>
      </c>
      <c r="K8" s="34" t="str">
        <f t="shared" si="0"/>
        <v>beban/biaya telepon bulan ini</v>
      </c>
    </row>
    <row r="9" spans="1:11" x14ac:dyDescent="0.25">
      <c r="B9" s="4"/>
      <c r="C9" s="4"/>
      <c r="D9" s="5" t="str">
        <f>"Beban "&amp;E4</f>
        <v>Beban Listrik</v>
      </c>
      <c r="E9" s="4"/>
      <c r="F9" s="6">
        <f>E6</f>
        <v>1250000</v>
      </c>
      <c r="G9" s="4"/>
      <c r="I9" s="45">
        <v>4</v>
      </c>
      <c r="J9" s="62" t="s">
        <v>9</v>
      </c>
      <c r="K9" s="34" t="str">
        <f t="shared" si="0"/>
        <v>beban/biaya sewa tempat bulan ini</v>
      </c>
    </row>
    <row r="10" spans="1:11" x14ac:dyDescent="0.25">
      <c r="B10" s="4"/>
      <c r="C10" s="4"/>
      <c r="D10" s="7" t="str">
        <f>E5</f>
        <v>Bank Central Asia</v>
      </c>
      <c r="E10" s="4"/>
      <c r="F10" s="4"/>
      <c r="G10" s="6">
        <f>F9</f>
        <v>1250000</v>
      </c>
    </row>
    <row r="11" spans="1:11" x14ac:dyDescent="0.25">
      <c r="B11" s="4"/>
      <c r="C11" s="4"/>
      <c r="D11" s="8" t="str">
        <f>"("&amp;VLOOKUP(A4,I6:K9,3)&amp;")"</f>
        <v>(beban/biaya listrik bulan ini)</v>
      </c>
      <c r="E11" s="4"/>
      <c r="F11" s="4"/>
      <c r="G11" s="4"/>
      <c r="I11" s="30" t="s">
        <v>107</v>
      </c>
    </row>
    <row r="12" spans="1:11" ht="15" customHeight="1" x14ac:dyDescent="0.25">
      <c r="I12" s="59" t="s">
        <v>56</v>
      </c>
      <c r="J12" s="60" t="s">
        <v>106</v>
      </c>
    </row>
    <row r="13" spans="1:11" x14ac:dyDescent="0.25">
      <c r="B13" s="30" t="s">
        <v>108</v>
      </c>
      <c r="I13" s="45">
        <v>1</v>
      </c>
      <c r="J13" s="34" t="s">
        <v>11</v>
      </c>
    </row>
    <row r="14" spans="1:11" x14ac:dyDescent="0.25">
      <c r="B14" s="135" t="s">
        <v>81</v>
      </c>
      <c r="C14" s="135"/>
      <c r="D14" s="134" t="s">
        <v>80</v>
      </c>
      <c r="E14" s="135"/>
      <c r="F14" s="135"/>
      <c r="I14" s="45">
        <v>2</v>
      </c>
      <c r="J14" s="34" t="s">
        <v>10</v>
      </c>
    </row>
    <row r="15" spans="1:11" x14ac:dyDescent="0.25">
      <c r="B15" s="133" t="s">
        <v>109</v>
      </c>
      <c r="C15" s="133"/>
      <c r="D15" s="64" t="str">
        <f ca="1">_xlfn.FORMULATEXT(E4)</f>
        <v>=VLOOKUP(A4;I6:J9;2)</v>
      </c>
      <c r="E15" s="65"/>
      <c r="F15" s="65"/>
      <c r="I15" s="45">
        <v>3</v>
      </c>
      <c r="J15" s="34" t="s">
        <v>26</v>
      </c>
    </row>
    <row r="16" spans="1:11" x14ac:dyDescent="0.25">
      <c r="B16" s="133" t="s">
        <v>110</v>
      </c>
      <c r="C16" s="133"/>
      <c r="D16" s="34" t="str">
        <f t="shared" ref="D16:D17" ca="1" si="1">_xlfn.FORMULATEXT(E5)</f>
        <v>=VLOOKUP(A5;I13:J17;2)</v>
      </c>
      <c r="E16" s="51"/>
      <c r="F16" s="51"/>
      <c r="I16" s="45">
        <v>4</v>
      </c>
      <c r="J16" s="34" t="s">
        <v>12</v>
      </c>
    </row>
    <row r="17" spans="2:10" x14ac:dyDescent="0.25">
      <c r="B17" s="133" t="s">
        <v>111</v>
      </c>
      <c r="C17" s="133"/>
      <c r="D17" s="34" t="str">
        <f t="shared" ca="1" si="1"/>
        <v>=A6*1000</v>
      </c>
      <c r="E17" s="51"/>
      <c r="F17" s="51"/>
      <c r="I17" s="45">
        <v>5</v>
      </c>
      <c r="J17" s="34" t="s">
        <v>13</v>
      </c>
    </row>
    <row r="18" spans="2:10" x14ac:dyDescent="0.25">
      <c r="B18" s="133" t="s">
        <v>112</v>
      </c>
      <c r="C18" s="133"/>
      <c r="D18" s="34" t="str">
        <f ca="1">_xlfn.FORMULATEXT(D9)</f>
        <v>="Beban "&amp;E4</v>
      </c>
      <c r="E18" s="51"/>
      <c r="F18" s="51"/>
    </row>
    <row r="19" spans="2:10" x14ac:dyDescent="0.25">
      <c r="B19" s="133" t="s">
        <v>90</v>
      </c>
      <c r="C19" s="133"/>
      <c r="D19" s="34" t="str">
        <f t="shared" ref="D19:D20" ca="1" si="2">_xlfn.FORMULATEXT(D10)</f>
        <v>=E5</v>
      </c>
      <c r="E19" s="51"/>
      <c r="F19" s="51"/>
    </row>
    <row r="20" spans="2:10" x14ac:dyDescent="0.25">
      <c r="B20" s="133" t="s">
        <v>91</v>
      </c>
      <c r="C20" s="133"/>
      <c r="D20" s="34" t="str">
        <f t="shared" ca="1" si="2"/>
        <v>="("&amp;VLOOKUP(A4;I6:K9;3)&amp;")"</v>
      </c>
      <c r="E20" s="51"/>
      <c r="F20" s="51"/>
    </row>
    <row r="21" spans="2:10" x14ac:dyDescent="0.25">
      <c r="B21" s="133" t="s">
        <v>113</v>
      </c>
      <c r="C21" s="133"/>
      <c r="D21" s="34" t="str">
        <f ca="1">_xlfn.FORMULATEXT(F9)</f>
        <v>=E6</v>
      </c>
      <c r="E21" s="51"/>
      <c r="F21" s="51"/>
    </row>
    <row r="22" spans="2:10" x14ac:dyDescent="0.25">
      <c r="B22" s="133" t="s">
        <v>114</v>
      </c>
      <c r="C22" s="133"/>
      <c r="D22" s="34" t="str">
        <f ca="1">_xlfn.FORMULATEXT(G10)</f>
        <v>=F9</v>
      </c>
      <c r="E22" s="51"/>
      <c r="F22" s="51"/>
    </row>
    <row r="23" spans="2:10" ht="30" customHeight="1" x14ac:dyDescent="0.25">
      <c r="B23" s="44"/>
      <c r="C23" s="44" t="s">
        <v>116</v>
      </c>
      <c r="D23" s="125" t="str">
        <f ca="1">_xlfn.FORMULATEXT(K6)&amp;", salin ke range K7:K9"</f>
        <v>="beban/biaya "&amp;LOWER(J6)&amp;" bulan ini", salin ke range K7:K9</v>
      </c>
      <c r="E23" s="128"/>
      <c r="F23" s="128"/>
    </row>
    <row r="24" spans="2:10" ht="19.5" customHeight="1" x14ac:dyDescent="0.25"/>
  </sheetData>
  <mergeCells count="12">
    <mergeCell ref="B18:C18"/>
    <mergeCell ref="D14:F14"/>
    <mergeCell ref="B14:C14"/>
    <mergeCell ref="E6:F6"/>
    <mergeCell ref="B15:C15"/>
    <mergeCell ref="B16:C16"/>
    <mergeCell ref="B17:C17"/>
    <mergeCell ref="D23:F23"/>
    <mergeCell ref="B19:C19"/>
    <mergeCell ref="B20:C20"/>
    <mergeCell ref="B21:C21"/>
    <mergeCell ref="B22:C22"/>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5" r:id="rId3" name="Scroll Bar 1">
              <controlPr defaultSize="0" autoPict="0">
                <anchor moveWithCells="1">
                  <from>
                    <xdr:col>3</xdr:col>
                    <xdr:colOff>800100</xdr:colOff>
                    <xdr:row>3</xdr:row>
                    <xdr:rowOff>28575</xdr:rowOff>
                  </from>
                  <to>
                    <xdr:col>3</xdr:col>
                    <xdr:colOff>1285875</xdr:colOff>
                    <xdr:row>3</xdr:row>
                    <xdr:rowOff>190500</xdr:rowOff>
                  </to>
                </anchor>
              </controlPr>
            </control>
          </mc:Choice>
        </mc:AlternateContent>
        <mc:AlternateContent xmlns:mc="http://schemas.openxmlformats.org/markup-compatibility/2006">
          <mc:Choice Requires="x14">
            <control shapeId="1026" r:id="rId4" name="Scroll Bar 2">
              <controlPr defaultSize="0" autoPict="0">
                <anchor moveWithCells="1">
                  <from>
                    <xdr:col>3</xdr:col>
                    <xdr:colOff>800100</xdr:colOff>
                    <xdr:row>4</xdr:row>
                    <xdr:rowOff>28575</xdr:rowOff>
                  </from>
                  <to>
                    <xdr:col>3</xdr:col>
                    <xdr:colOff>1285875</xdr:colOff>
                    <xdr:row>4</xdr:row>
                    <xdr:rowOff>190500</xdr:rowOff>
                  </to>
                </anchor>
              </controlPr>
            </control>
          </mc:Choice>
        </mc:AlternateContent>
        <mc:AlternateContent xmlns:mc="http://schemas.openxmlformats.org/markup-compatibility/2006">
          <mc:Choice Requires="x14">
            <control shapeId="1027" r:id="rId5" name="Scroll Bar 3">
              <controlPr defaultSize="0" autoPict="0">
                <anchor moveWithCells="1">
                  <from>
                    <xdr:col>3</xdr:col>
                    <xdr:colOff>800100</xdr:colOff>
                    <xdr:row>5</xdr:row>
                    <xdr:rowOff>19050</xdr:rowOff>
                  </from>
                  <to>
                    <xdr:col>3</xdr:col>
                    <xdr:colOff>1285875</xdr:colOff>
                    <xdr:row>5</xdr:row>
                    <xdr:rowOff>180975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3"/>
  <sheetViews>
    <sheetView showGridLines="0" workbookViewId="0">
      <selection activeCell="K14" sqref="K14"/>
    </sheetView>
  </sheetViews>
  <sheetFormatPr defaultRowHeight="15" x14ac:dyDescent="0.25"/>
  <cols>
    <col min="1" max="1" width="5.85546875" style="1" customWidth="1"/>
    <col min="2" max="2" width="0.7109375" style="1" customWidth="1"/>
    <col min="3" max="3" width="4.85546875" style="1" customWidth="1"/>
    <col min="4" max="4" width="21.85546875" style="1" customWidth="1"/>
    <col min="5" max="5" width="11.7109375" style="1" customWidth="1"/>
    <col min="6" max="7" width="11.28515625" style="1" customWidth="1"/>
    <col min="8" max="8" width="5.85546875" style="1" customWidth="1"/>
    <col min="9" max="9" width="4.7109375" style="1" customWidth="1"/>
    <col min="10" max="10" width="18.7109375" style="1" customWidth="1"/>
    <col min="11" max="11" width="14.140625" style="1" customWidth="1"/>
    <col min="12" max="12" width="5.85546875" style="1" customWidth="1"/>
    <col min="13" max="16384" width="9.140625" style="1"/>
  </cols>
  <sheetData>
    <row r="1" spans="1:11" ht="19.5" customHeight="1" x14ac:dyDescent="0.25"/>
    <row r="2" spans="1:11" ht="18.75" x14ac:dyDescent="0.25">
      <c r="B2" s="2" t="s">
        <v>0</v>
      </c>
      <c r="C2" s="2"/>
    </row>
    <row r="3" spans="1:11" x14ac:dyDescent="0.25">
      <c r="B3" s="21" t="s">
        <v>17</v>
      </c>
      <c r="C3" s="21"/>
    </row>
    <row r="4" spans="1:11" ht="16.5" customHeight="1" x14ac:dyDescent="0.25">
      <c r="A4" s="20">
        <v>3</v>
      </c>
      <c r="B4" s="10" t="s">
        <v>18</v>
      </c>
      <c r="C4" s="9"/>
      <c r="D4" s="43"/>
      <c r="E4" s="11" t="str">
        <f>VLOOKUP(A4,I14:K16,2)</f>
        <v>Bunga Bank</v>
      </c>
      <c r="F4" s="12"/>
      <c r="I4" s="68" t="s">
        <v>117</v>
      </c>
    </row>
    <row r="5" spans="1:11" ht="16.5" customHeight="1" x14ac:dyDescent="0.25">
      <c r="A5" s="20">
        <v>3</v>
      </c>
      <c r="B5" s="10" t="s">
        <v>125</v>
      </c>
      <c r="C5" s="9"/>
      <c r="D5" s="43"/>
      <c r="E5" s="11" t="str">
        <f>VLOOKUP(A5,I6:J10,2)</f>
        <v>Bank Central Asia</v>
      </c>
      <c r="F5" s="12"/>
      <c r="I5" s="69" t="s">
        <v>56</v>
      </c>
      <c r="J5" s="70" t="s">
        <v>106</v>
      </c>
    </row>
    <row r="6" spans="1:11" ht="16.5" customHeight="1" x14ac:dyDescent="0.25">
      <c r="A6" s="20">
        <v>1500</v>
      </c>
      <c r="B6" s="10" t="s">
        <v>4</v>
      </c>
      <c r="C6" s="9"/>
      <c r="D6" s="43"/>
      <c r="E6" s="136">
        <f>A6*1000</f>
        <v>1500000</v>
      </c>
      <c r="F6" s="137"/>
      <c r="I6" s="63">
        <v>1</v>
      </c>
      <c r="J6" s="46" t="s">
        <v>11</v>
      </c>
    </row>
    <row r="7" spans="1:11" x14ac:dyDescent="0.25">
      <c r="I7" s="63">
        <v>2</v>
      </c>
      <c r="J7" s="46" t="s">
        <v>10</v>
      </c>
    </row>
    <row r="8" spans="1:11" x14ac:dyDescent="0.25">
      <c r="B8" s="18"/>
      <c r="C8" s="75" t="s">
        <v>5</v>
      </c>
      <c r="D8" s="75"/>
      <c r="E8" s="75"/>
      <c r="F8" s="75"/>
      <c r="G8" s="75"/>
      <c r="I8" s="63">
        <v>3</v>
      </c>
      <c r="J8" s="46" t="s">
        <v>26</v>
      </c>
    </row>
    <row r="9" spans="1:11" x14ac:dyDescent="0.25">
      <c r="B9" s="44"/>
      <c r="C9" s="72" t="str">
        <f>E5</f>
        <v>Bank Central Asia</v>
      </c>
      <c r="D9" s="44"/>
      <c r="E9" s="44"/>
      <c r="F9" s="74">
        <f>E6</f>
        <v>1500000</v>
      </c>
      <c r="G9" s="44"/>
      <c r="I9" s="63">
        <v>4</v>
      </c>
      <c r="J9" s="46" t="s">
        <v>12</v>
      </c>
    </row>
    <row r="10" spans="1:11" x14ac:dyDescent="0.25">
      <c r="B10" s="44"/>
      <c r="C10" s="133" t="str">
        <f>IF(A4=2,K14,K16)&amp;E4</f>
        <v>Pendapatan Bunga Bank</v>
      </c>
      <c r="D10" s="133"/>
      <c r="E10" s="133"/>
      <c r="F10" s="44"/>
      <c r="G10" s="74">
        <f>F9</f>
        <v>1500000</v>
      </c>
      <c r="I10" s="63">
        <v>5</v>
      </c>
      <c r="J10" s="46" t="s">
        <v>13</v>
      </c>
    </row>
    <row r="11" spans="1:11" x14ac:dyDescent="0.25">
      <c r="B11" s="44"/>
      <c r="C11" s="73" t="str">
        <f>"(penerimaan "&amp;LOWER(C10)&amp;")"</f>
        <v>(penerimaan pendapatan bunga bank)</v>
      </c>
      <c r="D11" s="44"/>
      <c r="E11" s="44"/>
      <c r="F11" s="44"/>
      <c r="G11" s="44"/>
    </row>
    <row r="12" spans="1:11" x14ac:dyDescent="0.25">
      <c r="I12" s="68" t="s">
        <v>118</v>
      </c>
    </row>
    <row r="13" spans="1:11" x14ac:dyDescent="0.25">
      <c r="B13" s="30" t="s">
        <v>80</v>
      </c>
      <c r="I13" s="69" t="s">
        <v>56</v>
      </c>
      <c r="J13" s="70" t="s">
        <v>106</v>
      </c>
      <c r="K13" s="69" t="s">
        <v>115</v>
      </c>
    </row>
    <row r="14" spans="1:11" x14ac:dyDescent="0.25">
      <c r="B14" s="135" t="s">
        <v>81</v>
      </c>
      <c r="C14" s="141"/>
      <c r="D14" s="134" t="s">
        <v>80</v>
      </c>
      <c r="E14" s="135"/>
      <c r="I14" s="63">
        <v>1</v>
      </c>
      <c r="J14" s="46" t="s">
        <v>15</v>
      </c>
      <c r="K14" s="33" t="s">
        <v>123</v>
      </c>
    </row>
    <row r="15" spans="1:11" x14ac:dyDescent="0.25">
      <c r="B15" s="139" t="s">
        <v>109</v>
      </c>
      <c r="C15" s="140"/>
      <c r="D15" s="34" t="str">
        <f ca="1">_xlfn.FORMULATEXT(E4)</f>
        <v>=VLOOKUP(A4;I14:K16;2)</v>
      </c>
      <c r="E15" s="44"/>
      <c r="I15" s="63">
        <v>2</v>
      </c>
      <c r="J15" s="46" t="s">
        <v>16</v>
      </c>
      <c r="K15" s="33" t="s">
        <v>123</v>
      </c>
    </row>
    <row r="16" spans="1:11" x14ac:dyDescent="0.25">
      <c r="B16" s="133" t="s">
        <v>110</v>
      </c>
      <c r="C16" s="138"/>
      <c r="D16" s="34" t="str">
        <f ca="1">_xlfn.FORMULATEXT(E5)</f>
        <v>=VLOOKUP(A5;I6:J10;2)</v>
      </c>
      <c r="E16" s="44"/>
      <c r="I16" s="63">
        <v>3</v>
      </c>
      <c r="J16" s="46" t="s">
        <v>14</v>
      </c>
      <c r="K16" s="33" t="s">
        <v>124</v>
      </c>
    </row>
    <row r="17" spans="2:5" x14ac:dyDescent="0.25">
      <c r="B17" s="133" t="s">
        <v>111</v>
      </c>
      <c r="C17" s="138"/>
      <c r="D17" s="34" t="str">
        <f ca="1">_xlfn.FORMULATEXT(E6)</f>
        <v>=A6*1000</v>
      </c>
      <c r="E17" s="44"/>
    </row>
    <row r="18" spans="2:5" x14ac:dyDescent="0.25">
      <c r="B18" s="133" t="s">
        <v>119</v>
      </c>
      <c r="C18" s="138"/>
      <c r="D18" s="34" t="str">
        <f ca="1">_xlfn.FORMULATEXT(C9)</f>
        <v>=E5</v>
      </c>
      <c r="E18" s="44"/>
    </row>
    <row r="19" spans="2:5" x14ac:dyDescent="0.25">
      <c r="B19" s="133" t="s">
        <v>120</v>
      </c>
      <c r="C19" s="138"/>
      <c r="D19" s="34" t="str">
        <f ca="1">_xlfn.FORMULATEXT(C10)</f>
        <v>=IF(A4=2;K14;K16)&amp;E4</v>
      </c>
      <c r="E19" s="44"/>
    </row>
    <row r="20" spans="2:5" x14ac:dyDescent="0.25">
      <c r="B20" s="133" t="s">
        <v>121</v>
      </c>
      <c r="C20" s="138"/>
      <c r="D20" s="34" t="str">
        <f ca="1">_xlfn.FORMULATEXT(C11)</f>
        <v>="(penerimaan "&amp;LOWER(C10)&amp;")"</v>
      </c>
      <c r="E20" s="44"/>
    </row>
    <row r="21" spans="2:5" x14ac:dyDescent="0.25">
      <c r="B21" s="133" t="s">
        <v>113</v>
      </c>
      <c r="C21" s="138"/>
      <c r="D21" s="34" t="str">
        <f ca="1">_xlfn.FORMULATEXT(F9)</f>
        <v>=E6</v>
      </c>
      <c r="E21" s="44"/>
    </row>
    <row r="22" spans="2:5" x14ac:dyDescent="0.25">
      <c r="B22" s="133" t="s">
        <v>122</v>
      </c>
      <c r="C22" s="133"/>
      <c r="D22" s="34" t="str">
        <f ca="1">_xlfn.FORMULATEXT(G10)</f>
        <v>=F9</v>
      </c>
      <c r="E22" s="44"/>
    </row>
    <row r="23" spans="2:5" ht="19.5" customHeight="1" x14ac:dyDescent="0.25"/>
  </sheetData>
  <mergeCells count="12">
    <mergeCell ref="E6:F6"/>
    <mergeCell ref="C10:E10"/>
    <mergeCell ref="B21:C21"/>
    <mergeCell ref="B22:C22"/>
    <mergeCell ref="B15:C15"/>
    <mergeCell ref="B14:C14"/>
    <mergeCell ref="D14:E14"/>
    <mergeCell ref="B16:C16"/>
    <mergeCell ref="B17:C17"/>
    <mergeCell ref="B18:C18"/>
    <mergeCell ref="B19:C19"/>
    <mergeCell ref="B20:C20"/>
  </mergeCells>
  <pageMargins left="0.7" right="0.7" top="0.75" bottom="0.75" header="0.3" footer="0.3"/>
  <pageSetup paperSize="9" orientation="portrait" horizontalDpi="0"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Scroll Bar 1">
              <controlPr defaultSize="0" autoPict="0">
                <anchor moveWithCells="1">
                  <from>
                    <xdr:col>3</xdr:col>
                    <xdr:colOff>857250</xdr:colOff>
                    <xdr:row>3</xdr:row>
                    <xdr:rowOff>28575</xdr:rowOff>
                  </from>
                  <to>
                    <xdr:col>3</xdr:col>
                    <xdr:colOff>1343025</xdr:colOff>
                    <xdr:row>3</xdr:row>
                    <xdr:rowOff>190500</xdr:rowOff>
                  </to>
                </anchor>
              </controlPr>
            </control>
          </mc:Choice>
        </mc:AlternateContent>
        <mc:AlternateContent xmlns:mc="http://schemas.openxmlformats.org/markup-compatibility/2006">
          <mc:Choice Requires="x14">
            <control shapeId="2050" r:id="rId5" name="Scroll Bar 2">
              <controlPr defaultSize="0" autoPict="0">
                <anchor moveWithCells="1">
                  <from>
                    <xdr:col>3</xdr:col>
                    <xdr:colOff>857250</xdr:colOff>
                    <xdr:row>4</xdr:row>
                    <xdr:rowOff>19050</xdr:rowOff>
                  </from>
                  <to>
                    <xdr:col>3</xdr:col>
                    <xdr:colOff>1343025</xdr:colOff>
                    <xdr:row>4</xdr:row>
                    <xdr:rowOff>180975</xdr:rowOff>
                  </to>
                </anchor>
              </controlPr>
            </control>
          </mc:Choice>
        </mc:AlternateContent>
        <mc:AlternateContent xmlns:mc="http://schemas.openxmlformats.org/markup-compatibility/2006">
          <mc:Choice Requires="x14">
            <control shapeId="2051" r:id="rId6" name="Scroll Bar 3">
              <controlPr defaultSize="0" autoPict="0">
                <anchor moveWithCells="1">
                  <from>
                    <xdr:col>3</xdr:col>
                    <xdr:colOff>857250</xdr:colOff>
                    <xdr:row>5</xdr:row>
                    <xdr:rowOff>9525</xdr:rowOff>
                  </from>
                  <to>
                    <xdr:col>3</xdr:col>
                    <xdr:colOff>1343025</xdr:colOff>
                    <xdr:row>5</xdr:row>
                    <xdr:rowOff>171450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
  <sheetViews>
    <sheetView showGridLines="0" zoomScaleNormal="100" workbookViewId="0">
      <selection activeCell="O39" sqref="O39"/>
    </sheetView>
  </sheetViews>
  <sheetFormatPr defaultRowHeight="15" x14ac:dyDescent="0.25"/>
  <cols>
    <col min="1" max="1" width="5.85546875" style="1" customWidth="1"/>
    <col min="2" max="2" width="0.7109375" style="1" customWidth="1"/>
    <col min="3" max="3" width="24.7109375" style="1" customWidth="1"/>
    <col min="4" max="4" width="9.5703125" style="1" customWidth="1"/>
    <col min="5" max="5" width="12.140625" style="1" customWidth="1"/>
    <col min="6" max="6" width="11.5703125" style="1" customWidth="1"/>
    <col min="7" max="7" width="5.85546875" style="1" customWidth="1"/>
    <col min="8" max="8" width="6.140625" style="1" customWidth="1"/>
    <col min="9" max="9" width="18.85546875" style="1" customWidth="1"/>
    <col min="10" max="10" width="55.7109375" style="1" customWidth="1"/>
    <col min="11" max="11" width="5.85546875" style="1" customWidth="1"/>
    <col min="12" max="16384" width="9.140625" style="1"/>
  </cols>
  <sheetData>
    <row r="1" spans="1:9" ht="19.5" customHeight="1" x14ac:dyDescent="0.25"/>
    <row r="2" spans="1:9" ht="18.75" x14ac:dyDescent="0.25">
      <c r="B2" s="2" t="s">
        <v>19</v>
      </c>
    </row>
    <row r="3" spans="1:9" x14ac:dyDescent="0.25">
      <c r="B3" s="21" t="s">
        <v>1</v>
      </c>
    </row>
    <row r="4" spans="1:9" ht="16.5" customHeight="1" x14ac:dyDescent="0.25">
      <c r="A4" s="20">
        <v>2</v>
      </c>
      <c r="B4" s="9"/>
      <c r="C4" s="10" t="s">
        <v>2</v>
      </c>
      <c r="D4" s="11" t="str">
        <f>VLOOKUP(A4,H14:I17,2)</f>
        <v>Listrik</v>
      </c>
      <c r="E4" s="12"/>
      <c r="H4" s="22" t="s">
        <v>117</v>
      </c>
    </row>
    <row r="5" spans="1:9" ht="16.5" customHeight="1" x14ac:dyDescent="0.25">
      <c r="A5" s="20">
        <v>2</v>
      </c>
      <c r="B5" s="9"/>
      <c r="C5" s="10" t="s">
        <v>3</v>
      </c>
      <c r="D5" s="11" t="str">
        <f>VLOOKUP(A5,H6:I10,2)</f>
        <v>Kas di Tangan</v>
      </c>
      <c r="E5" s="12"/>
      <c r="H5" s="78" t="s">
        <v>56</v>
      </c>
      <c r="I5" s="79" t="s">
        <v>106</v>
      </c>
    </row>
    <row r="6" spans="1:9" ht="16.5" customHeight="1" x14ac:dyDescent="0.25">
      <c r="A6" s="20">
        <v>1750</v>
      </c>
      <c r="B6" s="9"/>
      <c r="C6" s="10" t="s">
        <v>4</v>
      </c>
      <c r="D6" s="136">
        <f>A6*1000</f>
        <v>1750000</v>
      </c>
      <c r="E6" s="137"/>
      <c r="H6" s="63">
        <v>1</v>
      </c>
      <c r="I6" s="34" t="s">
        <v>11</v>
      </c>
    </row>
    <row r="7" spans="1:9" x14ac:dyDescent="0.25">
      <c r="H7" s="63">
        <v>2</v>
      </c>
      <c r="I7" s="34" t="s">
        <v>10</v>
      </c>
    </row>
    <row r="8" spans="1:9" x14ac:dyDescent="0.25">
      <c r="B8" s="17"/>
      <c r="C8" s="15" t="s">
        <v>20</v>
      </c>
      <c r="D8" s="15"/>
      <c r="E8" s="15"/>
      <c r="F8" s="15"/>
      <c r="H8" s="63">
        <v>3</v>
      </c>
      <c r="I8" s="34" t="s">
        <v>26</v>
      </c>
    </row>
    <row r="9" spans="1:9" x14ac:dyDescent="0.25">
      <c r="A9" s="15"/>
      <c r="B9" s="15"/>
      <c r="C9" s="92" t="str">
        <f>"Beban (biaya) "&amp;D4</f>
        <v>Beban (biaya) Listrik</v>
      </c>
      <c r="D9" s="15"/>
      <c r="E9" s="23">
        <f>D6</f>
        <v>1750000</v>
      </c>
      <c r="F9" s="15"/>
      <c r="H9" s="63">
        <v>4</v>
      </c>
      <c r="I9" s="34" t="s">
        <v>12</v>
      </c>
    </row>
    <row r="10" spans="1:9" x14ac:dyDescent="0.25">
      <c r="A10" s="15"/>
      <c r="B10" s="15"/>
      <c r="C10" s="93" t="str">
        <f>D5</f>
        <v>Kas di Tangan</v>
      </c>
      <c r="D10" s="15"/>
      <c r="E10" s="15"/>
      <c r="F10" s="23">
        <f>E9</f>
        <v>1750000</v>
      </c>
      <c r="H10" s="63">
        <v>5</v>
      </c>
      <c r="I10" s="34" t="s">
        <v>13</v>
      </c>
    </row>
    <row r="11" spans="1:9" ht="17.25" customHeight="1" x14ac:dyDescent="0.25"/>
    <row r="12" spans="1:9" x14ac:dyDescent="0.25">
      <c r="B12" s="22" t="s">
        <v>21</v>
      </c>
      <c r="H12" s="22" t="s">
        <v>126</v>
      </c>
    </row>
    <row r="13" spans="1:9" x14ac:dyDescent="0.25">
      <c r="B13" s="37" t="s">
        <v>23</v>
      </c>
      <c r="C13" s="38"/>
      <c r="D13" s="38"/>
      <c r="E13" s="38"/>
      <c r="F13" s="77">
        <v>1570000</v>
      </c>
      <c r="H13" s="78" t="s">
        <v>56</v>
      </c>
      <c r="I13" s="79" t="s">
        <v>106</v>
      </c>
    </row>
    <row r="14" spans="1:9" x14ac:dyDescent="0.25">
      <c r="B14" s="3"/>
      <c r="C14" s="15" t="str">
        <f>IF(F13&gt;D6,"Maaf isian salah, silakan ulangi!","Jurnal yang salah")</f>
        <v>Jurnal yang salah</v>
      </c>
      <c r="D14" s="15"/>
      <c r="E14" s="23"/>
      <c r="F14" s="23"/>
      <c r="H14" s="63">
        <v>1</v>
      </c>
      <c r="I14" s="34" t="s">
        <v>6</v>
      </c>
    </row>
    <row r="15" spans="1:9" x14ac:dyDescent="0.25">
      <c r="B15" s="15"/>
      <c r="C15" s="92" t="str">
        <f>IF(F13&gt;D6,"",C9)</f>
        <v>Beban (biaya) Listrik</v>
      </c>
      <c r="D15" s="15"/>
      <c r="E15" s="23">
        <f>IF(C15="","",F13)</f>
        <v>1570000</v>
      </c>
      <c r="F15" s="23"/>
      <c r="H15" s="63">
        <v>2</v>
      </c>
      <c r="I15" s="34" t="s">
        <v>7</v>
      </c>
    </row>
    <row r="16" spans="1:9" x14ac:dyDescent="0.25">
      <c r="B16" s="15"/>
      <c r="C16" s="93" t="str">
        <f>IF(C15="","",C10)</f>
        <v>Kas di Tangan</v>
      </c>
      <c r="D16" s="15"/>
      <c r="E16" s="23"/>
      <c r="F16" s="23">
        <f>E15</f>
        <v>1570000</v>
      </c>
      <c r="H16" s="63">
        <v>3</v>
      </c>
      <c r="I16" s="34" t="s">
        <v>8</v>
      </c>
    </row>
    <row r="17" spans="2:10" x14ac:dyDescent="0.25">
      <c r="B17" s="15"/>
      <c r="C17" s="15"/>
      <c r="D17" s="15"/>
      <c r="E17" s="23"/>
      <c r="F17" s="23"/>
      <c r="H17" s="63">
        <v>4</v>
      </c>
      <c r="I17" s="34" t="s">
        <v>9</v>
      </c>
    </row>
    <row r="18" spans="2:10" x14ac:dyDescent="0.25">
      <c r="B18" s="22" t="s">
        <v>22</v>
      </c>
      <c r="C18" s="24"/>
      <c r="D18" s="15"/>
      <c r="E18" s="23"/>
      <c r="F18" s="23"/>
    </row>
    <row r="19" spans="2:10" x14ac:dyDescent="0.25">
      <c r="B19" s="1" t="str">
        <f>IF(F13&lt;D6,"x","")</f>
        <v>x</v>
      </c>
      <c r="C19" s="15" t="str">
        <f>IF(F13&lt;D6,"Jurnal Koreksi","")</f>
        <v>Jurnal Koreksi</v>
      </c>
      <c r="D19" s="15"/>
      <c r="E19" s="23"/>
      <c r="F19" s="23"/>
      <c r="H19" s="22" t="s">
        <v>108</v>
      </c>
    </row>
    <row r="20" spans="2:10" x14ac:dyDescent="0.25">
      <c r="B20" s="15"/>
      <c r="C20" s="92" t="str">
        <f>IF(C15="","",C15)</f>
        <v>Beban (biaya) Listrik</v>
      </c>
      <c r="D20" s="15"/>
      <c r="E20" s="23">
        <f>IF(C20="","",D6-F13)</f>
        <v>180000</v>
      </c>
      <c r="F20" s="23"/>
      <c r="H20" s="80" t="s">
        <v>81</v>
      </c>
      <c r="I20" s="126" t="s">
        <v>80</v>
      </c>
      <c r="J20" s="127"/>
    </row>
    <row r="21" spans="2:10" x14ac:dyDescent="0.25">
      <c r="B21" s="15"/>
      <c r="C21" s="93" t="str">
        <f>IF(C16="","",C16)</f>
        <v>Kas di Tangan</v>
      </c>
      <c r="D21" s="15"/>
      <c r="E21" s="15"/>
      <c r="F21" s="23">
        <f>E20</f>
        <v>180000</v>
      </c>
      <c r="H21" s="63" t="s">
        <v>101</v>
      </c>
      <c r="I21" s="34" t="str">
        <f ca="1">_xlfn.FORMULATEXT(D4)</f>
        <v>=VLOOKUP(A4;H14:I17;2)</v>
      </c>
      <c r="J21" s="51"/>
    </row>
    <row r="22" spans="2:10" ht="15" customHeight="1" x14ac:dyDescent="0.25">
      <c r="C22" s="15"/>
      <c r="D22" s="15"/>
      <c r="E22" s="15"/>
      <c r="F22" s="15"/>
      <c r="H22" s="63" t="s">
        <v>103</v>
      </c>
      <c r="I22" s="34" t="str">
        <f t="shared" ref="I22:I23" ca="1" si="0">_xlfn.FORMULATEXT(D5)</f>
        <v>=VLOOKUP(A5;H6:I10;2)</v>
      </c>
      <c r="J22" s="51"/>
    </row>
    <row r="23" spans="2:10" x14ac:dyDescent="0.25">
      <c r="B23" s="76"/>
      <c r="C23" s="75" t="s">
        <v>115</v>
      </c>
      <c r="D23" s="15"/>
      <c r="E23" s="15"/>
      <c r="F23" s="15"/>
      <c r="H23" s="63" t="s">
        <v>127</v>
      </c>
      <c r="I23" s="34" t="str">
        <f t="shared" ca="1" si="0"/>
        <v>=A6*1000</v>
      </c>
      <c r="J23" s="51"/>
    </row>
    <row r="24" spans="2:10" ht="15" customHeight="1" x14ac:dyDescent="0.25">
      <c r="C24" s="142" t="str">
        <f>IF(F13&gt;D6,"","Karena nilai transaksi yang seharusnya Rp "&amp;TEXT(D6,"#.###")&amp;" dicatat sebesar "&amp;TEXT(F13,"Rp #.###")&amp;" (terlalu kecil), sehingga harus dibuat jurnal yang sama dengan nilai transaksi sebesar Rp "&amp;TEXT(D6-F13,"#.###"))</f>
        <v>Karena nilai transaksi yang seharusnya Rp 1.750.000 dicatat sebesar Rp 1.570.000 (terlalu kecil), sehingga harus dibuat jurnal yang sama dengan nilai transaksi sebesar Rp 180.000</v>
      </c>
      <c r="D24" s="142"/>
      <c r="E24" s="142"/>
      <c r="F24" s="142"/>
      <c r="H24" s="63" t="s">
        <v>119</v>
      </c>
      <c r="I24" s="34" t="str">
        <f ca="1">_xlfn.FORMULATEXT(C9)</f>
        <v>="Beban (biaya) "&amp;D4</v>
      </c>
      <c r="J24" s="51"/>
    </row>
    <row r="25" spans="2:10" x14ac:dyDescent="0.25">
      <c r="C25" s="142"/>
      <c r="D25" s="142"/>
      <c r="E25" s="142"/>
      <c r="F25" s="142"/>
      <c r="H25" s="63" t="s">
        <v>120</v>
      </c>
      <c r="I25" s="34" t="str">
        <f ca="1">_xlfn.FORMULATEXT(C10)</f>
        <v>=D5</v>
      </c>
      <c r="J25" s="51"/>
    </row>
    <row r="26" spans="2:10" x14ac:dyDescent="0.25">
      <c r="C26" s="142"/>
      <c r="D26" s="142"/>
      <c r="E26" s="142"/>
      <c r="F26" s="142"/>
      <c r="H26" s="63" t="s">
        <v>130</v>
      </c>
      <c r="I26" s="81" t="str">
        <f ca="1">_xlfn.FORMULATEXT(E9)</f>
        <v>=D6</v>
      </c>
      <c r="J26" s="51"/>
    </row>
    <row r="27" spans="2:10" x14ac:dyDescent="0.25">
      <c r="H27" s="63" t="s">
        <v>131</v>
      </c>
      <c r="I27" s="34" t="str">
        <f ca="1">_xlfn.FORMULATEXT(F10)</f>
        <v>=E9</v>
      </c>
      <c r="J27" s="51"/>
    </row>
    <row r="28" spans="2:10" x14ac:dyDescent="0.25">
      <c r="H28" s="63" t="s">
        <v>128</v>
      </c>
      <c r="I28" s="34" t="str">
        <f ca="1">_xlfn.FORMULATEXT(C15)</f>
        <v>=IF(F13&gt;D6;"";C9)</v>
      </c>
      <c r="J28" s="51"/>
    </row>
    <row r="29" spans="2:10" x14ac:dyDescent="0.25">
      <c r="H29" s="63" t="s">
        <v>129</v>
      </c>
      <c r="I29" s="34" t="str">
        <f ca="1">_xlfn.FORMULATEXT(C16)</f>
        <v>=IF(C15="";"";C10)</v>
      </c>
      <c r="J29" s="51"/>
    </row>
    <row r="30" spans="2:10" x14ac:dyDescent="0.25">
      <c r="H30" s="63" t="s">
        <v>132</v>
      </c>
      <c r="I30" s="34" t="str">
        <f ca="1">_xlfn.FORMULATEXT(E15)</f>
        <v>=IF(C15="";"";F13)</v>
      </c>
      <c r="J30" s="51"/>
    </row>
    <row r="31" spans="2:10" x14ac:dyDescent="0.25">
      <c r="H31" s="63" t="s">
        <v>133</v>
      </c>
      <c r="I31" s="34" t="str">
        <f ca="1">_xlfn.FORMULATEXT(F16)</f>
        <v>=E15</v>
      </c>
      <c r="J31" s="51"/>
    </row>
    <row r="32" spans="2:10" x14ac:dyDescent="0.25">
      <c r="H32" s="63" t="s">
        <v>134</v>
      </c>
      <c r="I32" s="34" t="str">
        <f ca="1">_xlfn.FORMULATEXT(C20)</f>
        <v>=IF(C15="";"";C15)</v>
      </c>
      <c r="J32" s="51"/>
    </row>
    <row r="33" spans="8:10" x14ac:dyDescent="0.25">
      <c r="H33" s="63" t="s">
        <v>135</v>
      </c>
      <c r="I33" s="34" t="str">
        <f ca="1">_xlfn.FORMULATEXT(C21)</f>
        <v>=IF(C16="";"";C16)</v>
      </c>
      <c r="J33" s="51"/>
    </row>
    <row r="34" spans="8:10" x14ac:dyDescent="0.25">
      <c r="H34" s="63" t="s">
        <v>136</v>
      </c>
      <c r="I34" s="34" t="str">
        <f ca="1">_xlfn.FORMULATEXT(E20)</f>
        <v>=IF(C20="";"";D6-F13)</v>
      </c>
      <c r="J34" s="51"/>
    </row>
    <row r="35" spans="8:10" x14ac:dyDescent="0.25">
      <c r="H35" s="63" t="s">
        <v>137</v>
      </c>
      <c r="I35" s="34" t="str">
        <f ca="1">_xlfn.FORMULATEXT(F21)</f>
        <v>=E20</v>
      </c>
      <c r="J35" s="51"/>
    </row>
    <row r="36" spans="8:10" ht="45" customHeight="1" x14ac:dyDescent="0.25">
      <c r="H36" s="63" t="s">
        <v>138</v>
      </c>
      <c r="I36" s="125" t="str">
        <f ca="1">_xlfn.FORMULATEXT(C24)</f>
        <v>=IF(F13&gt;D6;"";"Karena nilai transaksi yang seharusnya Rp "&amp;TEXT(D6;"#.###")&amp;" dicatat sebesar "&amp;TEXT(F13;"Rp #.###")&amp;" (terlalu kecil), sehingga harus dibuat jurnal yang sama dengan nilai transaksi sebesar Rp "&amp;TEXT(D6-F13;"#.###"))</v>
      </c>
      <c r="J36" s="128"/>
    </row>
    <row r="37" spans="8:10" ht="19.5" customHeight="1" x14ac:dyDescent="0.25"/>
  </sheetData>
  <mergeCells count="4">
    <mergeCell ref="D6:E6"/>
    <mergeCell ref="C24:F26"/>
    <mergeCell ref="I36:J36"/>
    <mergeCell ref="I20:J20"/>
  </mergeCells>
  <conditionalFormatting sqref="B19">
    <cfRule type="notContainsBlanks" dxfId="73" priority="2">
      <formula>LEN(TRIM(B19))&gt;0</formula>
    </cfRule>
  </conditionalFormatting>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Scroll Bar 1">
              <controlPr defaultSize="0" autoPict="0">
                <anchor moveWithCells="1">
                  <from>
                    <xdr:col>2</xdr:col>
                    <xdr:colOff>1057275</xdr:colOff>
                    <xdr:row>3</xdr:row>
                    <xdr:rowOff>19050</xdr:rowOff>
                  </from>
                  <to>
                    <xdr:col>2</xdr:col>
                    <xdr:colOff>1543050</xdr:colOff>
                    <xdr:row>3</xdr:row>
                    <xdr:rowOff>180975</xdr:rowOff>
                  </to>
                </anchor>
              </controlPr>
            </control>
          </mc:Choice>
        </mc:AlternateContent>
        <mc:AlternateContent xmlns:mc="http://schemas.openxmlformats.org/markup-compatibility/2006">
          <mc:Choice Requires="x14">
            <control shapeId="3074" r:id="rId5" name="Scroll Bar 2">
              <controlPr defaultSize="0" autoPict="0">
                <anchor moveWithCells="1">
                  <from>
                    <xdr:col>2</xdr:col>
                    <xdr:colOff>1057275</xdr:colOff>
                    <xdr:row>4</xdr:row>
                    <xdr:rowOff>19050</xdr:rowOff>
                  </from>
                  <to>
                    <xdr:col>2</xdr:col>
                    <xdr:colOff>1543050</xdr:colOff>
                    <xdr:row>4</xdr:row>
                    <xdr:rowOff>180975</xdr:rowOff>
                  </to>
                </anchor>
              </controlPr>
            </control>
          </mc:Choice>
        </mc:AlternateContent>
        <mc:AlternateContent xmlns:mc="http://schemas.openxmlformats.org/markup-compatibility/2006">
          <mc:Choice Requires="x14">
            <control shapeId="3075" r:id="rId6" name="Scroll Bar 3">
              <controlPr defaultSize="0" autoPict="0">
                <anchor moveWithCells="1">
                  <from>
                    <xdr:col>2</xdr:col>
                    <xdr:colOff>1057275</xdr:colOff>
                    <xdr:row>5</xdr:row>
                    <xdr:rowOff>19050</xdr:rowOff>
                  </from>
                  <to>
                    <xdr:col>2</xdr:col>
                    <xdr:colOff>1543050</xdr:colOff>
                    <xdr:row>5</xdr:row>
                    <xdr:rowOff>180975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
  <sheetViews>
    <sheetView showGridLines="0" zoomScaleNormal="100" workbookViewId="0">
      <selection activeCell="O48" sqref="O48"/>
    </sheetView>
  </sheetViews>
  <sheetFormatPr defaultRowHeight="15" x14ac:dyDescent="0.25"/>
  <cols>
    <col min="1" max="1" width="5.85546875" style="1" customWidth="1"/>
    <col min="2" max="2" width="0.7109375" style="1" customWidth="1"/>
    <col min="3" max="3" width="24.7109375" style="1" customWidth="1"/>
    <col min="4" max="4" width="9.5703125" style="1" customWidth="1"/>
    <col min="5" max="5" width="12.140625" style="1" customWidth="1"/>
    <col min="6" max="6" width="11.5703125" style="1" customWidth="1"/>
    <col min="7" max="7" width="5.85546875" style="1" customWidth="1"/>
    <col min="8" max="8" width="6.140625" style="1" customWidth="1"/>
    <col min="9" max="9" width="18.85546875" style="1" customWidth="1"/>
    <col min="10" max="10" width="55.7109375" style="1" customWidth="1"/>
    <col min="11" max="11" width="5.85546875" style="1" customWidth="1"/>
    <col min="12" max="16384" width="9.140625" style="1"/>
  </cols>
  <sheetData>
    <row r="1" spans="1:9" ht="19.5" customHeight="1" x14ac:dyDescent="0.25"/>
    <row r="2" spans="1:9" ht="18.75" x14ac:dyDescent="0.25">
      <c r="B2" s="2" t="s">
        <v>24</v>
      </c>
    </row>
    <row r="3" spans="1:9" x14ac:dyDescent="0.25">
      <c r="B3" s="21" t="s">
        <v>1</v>
      </c>
    </row>
    <row r="4" spans="1:9" ht="16.5" customHeight="1" x14ac:dyDescent="0.25">
      <c r="A4" s="20">
        <v>2</v>
      </c>
      <c r="B4" s="9"/>
      <c r="C4" s="10" t="s">
        <v>2</v>
      </c>
      <c r="D4" s="11" t="str">
        <f>VLOOKUP(A4,H14:I17,2)</f>
        <v>Listrik</v>
      </c>
      <c r="E4" s="12"/>
      <c r="H4" s="22" t="s">
        <v>117</v>
      </c>
    </row>
    <row r="5" spans="1:9" ht="16.5" customHeight="1" x14ac:dyDescent="0.25">
      <c r="A5" s="20">
        <v>2</v>
      </c>
      <c r="B5" s="9"/>
      <c r="C5" s="10" t="s">
        <v>3</v>
      </c>
      <c r="D5" s="11" t="str">
        <f>VLOOKUP(A5,H6:I10,2)</f>
        <v>Kas di Tangan</v>
      </c>
      <c r="E5" s="12"/>
      <c r="H5" s="78" t="s">
        <v>56</v>
      </c>
      <c r="I5" s="79" t="s">
        <v>106</v>
      </c>
    </row>
    <row r="6" spans="1:9" ht="16.5" customHeight="1" x14ac:dyDescent="0.25">
      <c r="A6" s="20">
        <v>1825</v>
      </c>
      <c r="B6" s="9"/>
      <c r="C6" s="10" t="s">
        <v>4</v>
      </c>
      <c r="D6" s="136">
        <f>A6*1000</f>
        <v>1825000</v>
      </c>
      <c r="E6" s="137"/>
      <c r="H6" s="63">
        <v>1</v>
      </c>
      <c r="I6" s="34" t="s">
        <v>11</v>
      </c>
    </row>
    <row r="7" spans="1:9" x14ac:dyDescent="0.25">
      <c r="H7" s="63">
        <v>2</v>
      </c>
      <c r="I7" s="34" t="s">
        <v>10</v>
      </c>
    </row>
    <row r="8" spans="1:9" x14ac:dyDescent="0.25">
      <c r="B8" s="17"/>
      <c r="C8" s="4" t="s">
        <v>20</v>
      </c>
      <c r="D8" s="4"/>
      <c r="E8" s="4"/>
      <c r="F8" s="4"/>
      <c r="H8" s="63">
        <v>3</v>
      </c>
      <c r="I8" s="34" t="s">
        <v>26</v>
      </c>
    </row>
    <row r="9" spans="1:9" x14ac:dyDescent="0.25">
      <c r="B9" s="4"/>
      <c r="C9" s="5" t="str">
        <f>"Beban (biaya) "&amp;D4</f>
        <v>Beban (biaya) Listrik</v>
      </c>
      <c r="D9" s="4"/>
      <c r="E9" s="6">
        <f>D6</f>
        <v>1825000</v>
      </c>
      <c r="F9" s="4"/>
      <c r="H9" s="63">
        <v>4</v>
      </c>
      <c r="I9" s="34" t="s">
        <v>12</v>
      </c>
    </row>
    <row r="10" spans="1:9" x14ac:dyDescent="0.25">
      <c r="B10" s="4"/>
      <c r="C10" s="7" t="str">
        <f>D5</f>
        <v>Kas di Tangan</v>
      </c>
      <c r="D10" s="4"/>
      <c r="E10" s="4"/>
      <c r="F10" s="6">
        <f>E9</f>
        <v>1825000</v>
      </c>
      <c r="H10" s="63">
        <v>5</v>
      </c>
      <c r="I10" s="34" t="s">
        <v>13</v>
      </c>
    </row>
    <row r="11" spans="1:9" ht="17.25" customHeight="1" x14ac:dyDescent="0.25"/>
    <row r="12" spans="1:9" x14ac:dyDescent="0.25">
      <c r="B12" s="22" t="s">
        <v>21</v>
      </c>
      <c r="H12" s="22" t="s">
        <v>126</v>
      </c>
    </row>
    <row r="13" spans="1:9" x14ac:dyDescent="0.25">
      <c r="B13" s="37" t="s">
        <v>32</v>
      </c>
      <c r="C13" s="38"/>
      <c r="D13" s="38"/>
      <c r="E13" s="38"/>
      <c r="F13" s="77">
        <v>2125000</v>
      </c>
      <c r="H13" s="78" t="s">
        <v>56</v>
      </c>
      <c r="I13" s="79" t="s">
        <v>106</v>
      </c>
    </row>
    <row r="14" spans="1:9" x14ac:dyDescent="0.25">
      <c r="B14" s="3"/>
      <c r="C14" s="4" t="str">
        <f>IF(F13&lt;D6,"Maaf isian salah, silakan ulangi!","Jurnal yang salah")</f>
        <v>Jurnal yang salah</v>
      </c>
      <c r="D14" s="4"/>
      <c r="E14" s="6"/>
      <c r="F14" s="6"/>
      <c r="H14" s="63">
        <v>1</v>
      </c>
      <c r="I14" s="34" t="s">
        <v>6</v>
      </c>
    </row>
    <row r="15" spans="1:9" x14ac:dyDescent="0.25">
      <c r="B15" s="4"/>
      <c r="C15" s="5" t="str">
        <f>IF(F13&lt;D6,"",C9)</f>
        <v>Beban (biaya) Listrik</v>
      </c>
      <c r="D15" s="4"/>
      <c r="E15" s="6">
        <f>IF(C15="","",F13)</f>
        <v>2125000</v>
      </c>
      <c r="F15" s="6"/>
      <c r="H15" s="63">
        <v>2</v>
      </c>
      <c r="I15" s="34" t="s">
        <v>7</v>
      </c>
    </row>
    <row r="16" spans="1:9" x14ac:dyDescent="0.25">
      <c r="B16" s="4"/>
      <c r="C16" s="7" t="str">
        <f>IF(C15="","",C10)</f>
        <v>Kas di Tangan</v>
      </c>
      <c r="D16" s="4"/>
      <c r="E16" s="6"/>
      <c r="F16" s="6">
        <f>E15</f>
        <v>2125000</v>
      </c>
      <c r="H16" s="63">
        <v>3</v>
      </c>
      <c r="I16" s="34" t="s">
        <v>8</v>
      </c>
    </row>
    <row r="17" spans="2:10" x14ac:dyDescent="0.25">
      <c r="B17" s="4"/>
      <c r="C17" s="15"/>
      <c r="D17" s="15"/>
      <c r="E17" s="23"/>
      <c r="F17" s="23"/>
      <c r="H17" s="63">
        <v>4</v>
      </c>
      <c r="I17" s="34" t="s">
        <v>9</v>
      </c>
    </row>
    <row r="18" spans="2:10" x14ac:dyDescent="0.25">
      <c r="B18" s="22" t="s">
        <v>22</v>
      </c>
      <c r="C18" s="22"/>
      <c r="E18" s="13"/>
      <c r="F18" s="13"/>
    </row>
    <row r="19" spans="2:10" x14ac:dyDescent="0.25">
      <c r="B19" s="1" t="str">
        <f>IF(F13&gt;D6,"x","")</f>
        <v>x</v>
      </c>
      <c r="C19" s="4" t="str">
        <f>IF(F13&gt;D6,"Jurnal Koreksi","")</f>
        <v>Jurnal Koreksi</v>
      </c>
      <c r="D19" s="4"/>
      <c r="E19" s="6"/>
      <c r="F19" s="6"/>
      <c r="H19" s="22" t="s">
        <v>108</v>
      </c>
    </row>
    <row r="20" spans="2:10" x14ac:dyDescent="0.25">
      <c r="B20" s="4"/>
      <c r="C20" s="5" t="str">
        <f>IF(C15="","",D5)</f>
        <v>Kas di Tangan</v>
      </c>
      <c r="D20" s="4"/>
      <c r="E20" s="6">
        <f>IF(C20="","",F13-D6)</f>
        <v>300000</v>
      </c>
      <c r="F20" s="6"/>
      <c r="H20" s="80" t="s">
        <v>81</v>
      </c>
      <c r="I20" s="126" t="s">
        <v>80</v>
      </c>
      <c r="J20" s="127"/>
    </row>
    <row r="21" spans="2:10" x14ac:dyDescent="0.25">
      <c r="B21" s="4"/>
      <c r="C21" s="7" t="str">
        <f>IF(C16="","",D4)</f>
        <v>Listrik</v>
      </c>
      <c r="D21" s="4"/>
      <c r="E21" s="4"/>
      <c r="F21" s="6">
        <f>E20</f>
        <v>300000</v>
      </c>
      <c r="H21" s="63" t="s">
        <v>101</v>
      </c>
      <c r="I21" s="34" t="str">
        <f ca="1">_xlfn.FORMULATEXT(D4)</f>
        <v>=VLOOKUP(A4;H14:I17;2)</v>
      </c>
      <c r="J21" s="51"/>
    </row>
    <row r="22" spans="2:10" ht="15" customHeight="1" x14ac:dyDescent="0.25">
      <c r="H22" s="63" t="s">
        <v>103</v>
      </c>
      <c r="I22" s="34" t="str">
        <f t="shared" ref="I22:I23" ca="1" si="0">_xlfn.FORMULATEXT(D5)</f>
        <v>=VLOOKUP(A5;H6:I10;2)</v>
      </c>
      <c r="J22" s="51"/>
    </row>
    <row r="23" spans="2:10" x14ac:dyDescent="0.25">
      <c r="B23" s="76"/>
      <c r="C23" s="41" t="s">
        <v>115</v>
      </c>
      <c r="H23" s="63" t="s">
        <v>127</v>
      </c>
      <c r="I23" s="34" t="str">
        <f t="shared" ca="1" si="0"/>
        <v>=A6*1000</v>
      </c>
      <c r="J23" s="51"/>
    </row>
    <row r="24" spans="2:10" ht="15" customHeight="1" x14ac:dyDescent="0.25">
      <c r="C24" s="143" t="str">
        <f>IF(F13&lt;D6,"","Karena nilai transaksi yang seharusnya Rp "&amp;TEXT(D6,"#.###")&amp;" dicatat sebesar "&amp;TEXT(F13,"Rp #.###")&amp;" (terlalu besar), sehingga harus dibuat jurnal pembalik dengan nilai transaksi sebesar Rp "&amp;TEXT(F13-D6,"#.###")&amp;", yaitu Rp "&amp;TEXT(F13,"#.000")&amp;" (nilai terlalu besar) dikurangi "&amp;TEXT(D6,"Rp #.###")&amp;" (nilai transaksi seharusnya)")</f>
        <v>Karena nilai transaksi yang seharusnya Rp 1.825.000 dicatat sebesar Rp 2.125.000 (terlalu besar), sehingga harus dibuat jurnal pembalik dengan nilai transaksi sebesar Rp 300.000, yaitu Rp 2.125.000 (nilai terlalu besar) dikurangi Rp 1.825.000 (nilai transaksi seharusnya)</v>
      </c>
      <c r="D24" s="143"/>
      <c r="E24" s="143"/>
      <c r="F24" s="143"/>
      <c r="H24" s="63" t="s">
        <v>119</v>
      </c>
      <c r="I24" s="34" t="str">
        <f ca="1">_xlfn.FORMULATEXT(C9)</f>
        <v>="Beban (biaya) "&amp;D4</v>
      </c>
      <c r="J24" s="51"/>
    </row>
    <row r="25" spans="2:10" x14ac:dyDescent="0.25">
      <c r="C25" s="143"/>
      <c r="D25" s="143"/>
      <c r="E25" s="143"/>
      <c r="F25" s="143"/>
      <c r="H25" s="63" t="s">
        <v>120</v>
      </c>
      <c r="I25" s="34" t="str">
        <f ca="1">_xlfn.FORMULATEXT(C10)</f>
        <v>=D5</v>
      </c>
      <c r="J25" s="51"/>
    </row>
    <row r="26" spans="2:10" x14ac:dyDescent="0.25">
      <c r="C26" s="143"/>
      <c r="D26" s="143"/>
      <c r="E26" s="143"/>
      <c r="F26" s="143"/>
      <c r="H26" s="63" t="s">
        <v>130</v>
      </c>
      <c r="I26" s="81" t="str">
        <f ca="1">_xlfn.FORMULATEXT(E9)</f>
        <v>=D6</v>
      </c>
      <c r="J26" s="51"/>
    </row>
    <row r="27" spans="2:10" x14ac:dyDescent="0.25">
      <c r="C27" s="143"/>
      <c r="D27" s="143"/>
      <c r="E27" s="143"/>
      <c r="F27" s="143"/>
      <c r="H27" s="63" t="s">
        <v>131</v>
      </c>
      <c r="I27" s="34" t="str">
        <f ca="1">_xlfn.FORMULATEXT(F10)</f>
        <v>=E9</v>
      </c>
      <c r="J27" s="51"/>
    </row>
    <row r="28" spans="2:10" x14ac:dyDescent="0.25">
      <c r="C28" s="143"/>
      <c r="D28" s="143"/>
      <c r="E28" s="143"/>
      <c r="F28" s="143"/>
      <c r="H28" s="63" t="s">
        <v>128</v>
      </c>
      <c r="I28" s="34" t="str">
        <f ca="1">_xlfn.FORMULATEXT(C15)</f>
        <v>=IF(F13&lt;D6;"";C9)</v>
      </c>
      <c r="J28" s="51"/>
    </row>
    <row r="29" spans="2:10" x14ac:dyDescent="0.25">
      <c r="H29" s="63" t="s">
        <v>129</v>
      </c>
      <c r="I29" s="34" t="str">
        <f ca="1">_xlfn.FORMULATEXT(C16)</f>
        <v>=IF(C15="";"";C10)</v>
      </c>
      <c r="J29" s="51"/>
    </row>
    <row r="30" spans="2:10" x14ac:dyDescent="0.25">
      <c r="H30" s="63" t="s">
        <v>132</v>
      </c>
      <c r="I30" s="34" t="str">
        <f ca="1">_xlfn.FORMULATEXT(E15)</f>
        <v>=IF(C15="";"";F13)</v>
      </c>
      <c r="J30" s="51"/>
    </row>
    <row r="31" spans="2:10" x14ac:dyDescent="0.25">
      <c r="H31" s="63" t="s">
        <v>133</v>
      </c>
      <c r="I31" s="34" t="str">
        <f ca="1">_xlfn.FORMULATEXT(F16)</f>
        <v>=E15</v>
      </c>
      <c r="J31" s="51"/>
    </row>
    <row r="32" spans="2:10" x14ac:dyDescent="0.25">
      <c r="H32" s="63" t="s">
        <v>134</v>
      </c>
      <c r="I32" s="34" t="str">
        <f ca="1">_xlfn.FORMULATEXT(C20)</f>
        <v>=IF(C15="";"";D5)</v>
      </c>
      <c r="J32" s="51"/>
    </row>
    <row r="33" spans="8:10" x14ac:dyDescent="0.25">
      <c r="H33" s="63" t="s">
        <v>135</v>
      </c>
      <c r="I33" s="34" t="str">
        <f ca="1">_xlfn.FORMULATEXT(C21)</f>
        <v>=IF(C16="";"";D4)</v>
      </c>
      <c r="J33" s="51"/>
    </row>
    <row r="34" spans="8:10" x14ac:dyDescent="0.25">
      <c r="H34" s="63" t="s">
        <v>136</v>
      </c>
      <c r="I34" s="34" t="str">
        <f ca="1">_xlfn.FORMULATEXT(E20)</f>
        <v>=IF(C20="";"";F13-D6)</v>
      </c>
      <c r="J34" s="51"/>
    </row>
    <row r="35" spans="8:10" x14ac:dyDescent="0.25">
      <c r="H35" s="63" t="s">
        <v>137</v>
      </c>
      <c r="I35" s="34" t="str">
        <f ca="1">_xlfn.FORMULATEXT(F21)</f>
        <v>=E20</v>
      </c>
      <c r="J35" s="51"/>
    </row>
    <row r="36" spans="8:10" ht="75" customHeight="1" x14ac:dyDescent="0.25">
      <c r="H36" s="63" t="s">
        <v>138</v>
      </c>
      <c r="I36" s="125" t="str">
        <f ca="1">_xlfn.FORMULATEXT(C24)</f>
        <v>=IF(F13&lt;D6;"";"Karena nilai transaksi yang seharusnya Rp "&amp;TEXT(D6;"#.###")&amp;" dicatat sebesar "&amp;TEXT(F13;"Rp #.###")&amp;" (terlalu besar), sehingga harus dibuat jurnal pembalik dengan nilai transaksi sebesar Rp "&amp;TEXT(F13-D6;"#.###")&amp;", yaitu Rp "&amp;TEXT(F13;"#.000")&amp;" (nilai terlalu besar) dikurangi "&amp;TEXT(D6;"Rp #.###")&amp;" (nilai transaksi seharusnya)")</v>
      </c>
      <c r="J36" s="128"/>
    </row>
    <row r="37" spans="8:10" ht="19.5" customHeight="1" x14ac:dyDescent="0.25"/>
  </sheetData>
  <mergeCells count="4">
    <mergeCell ref="D6:E6"/>
    <mergeCell ref="I20:J20"/>
    <mergeCell ref="I36:J36"/>
    <mergeCell ref="C24:F28"/>
  </mergeCells>
  <conditionalFormatting sqref="B19">
    <cfRule type="notContainsBlanks" dxfId="72" priority="1">
      <formula>LEN(TRIM(B19))&gt;0</formula>
    </cfRule>
  </conditionalFormatting>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9697" r:id="rId4" name="Scroll Bar 1">
              <controlPr defaultSize="0" autoPict="0">
                <anchor moveWithCells="1">
                  <from>
                    <xdr:col>2</xdr:col>
                    <xdr:colOff>1057275</xdr:colOff>
                    <xdr:row>3</xdr:row>
                    <xdr:rowOff>19050</xdr:rowOff>
                  </from>
                  <to>
                    <xdr:col>2</xdr:col>
                    <xdr:colOff>1543050</xdr:colOff>
                    <xdr:row>3</xdr:row>
                    <xdr:rowOff>180975</xdr:rowOff>
                  </to>
                </anchor>
              </controlPr>
            </control>
          </mc:Choice>
        </mc:AlternateContent>
        <mc:AlternateContent xmlns:mc="http://schemas.openxmlformats.org/markup-compatibility/2006">
          <mc:Choice Requires="x14">
            <control shapeId="29698" r:id="rId5" name="Scroll Bar 2">
              <controlPr defaultSize="0" autoPict="0">
                <anchor moveWithCells="1">
                  <from>
                    <xdr:col>2</xdr:col>
                    <xdr:colOff>1057275</xdr:colOff>
                    <xdr:row>4</xdr:row>
                    <xdr:rowOff>19050</xdr:rowOff>
                  </from>
                  <to>
                    <xdr:col>2</xdr:col>
                    <xdr:colOff>1543050</xdr:colOff>
                    <xdr:row>4</xdr:row>
                    <xdr:rowOff>180975</xdr:rowOff>
                  </to>
                </anchor>
              </controlPr>
            </control>
          </mc:Choice>
        </mc:AlternateContent>
        <mc:AlternateContent xmlns:mc="http://schemas.openxmlformats.org/markup-compatibility/2006">
          <mc:Choice Requires="x14">
            <control shapeId="29699" r:id="rId6" name="Scroll Bar 3">
              <controlPr defaultSize="0" autoPict="0">
                <anchor moveWithCells="1">
                  <from>
                    <xdr:col>2</xdr:col>
                    <xdr:colOff>1057275</xdr:colOff>
                    <xdr:row>5</xdr:row>
                    <xdr:rowOff>19050</xdr:rowOff>
                  </from>
                  <to>
                    <xdr:col>2</xdr:col>
                    <xdr:colOff>1543050</xdr:colOff>
                    <xdr:row>5</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LOGIKA1</vt:lpstr>
      <vt:lpstr>LOGIKA2</vt:lpstr>
      <vt:lpstr>LOGIKA3</vt:lpstr>
      <vt:lpstr>LOGIKA4</vt:lpstr>
      <vt:lpstr>LOGIKA5</vt:lpstr>
      <vt:lpstr>KASUS1</vt:lpstr>
      <vt:lpstr>KASUS2</vt:lpstr>
      <vt:lpstr>KASUS3</vt:lpstr>
      <vt:lpstr>KASUS4</vt:lpstr>
      <vt:lpstr>KASUS5</vt:lpstr>
      <vt:lpstr>KASUS6</vt:lpstr>
      <vt:lpstr>KASUS7</vt:lpstr>
      <vt:lpstr>KASUS8</vt:lpstr>
      <vt:lpstr>KASUS9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2014-02-08T13:01:23Z</dcterms:created>
  <dcterms:modified xsi:type="dcterms:W3CDTF">2018-04-17T00:26:39Z</dcterms:modified>
</cp:coreProperties>
</file>